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9260" windowHeight="5445" activeTab="0"/>
  </bookViews>
  <sheets>
    <sheet name="calculator" sheetId="1" r:id="rId1"/>
    <sheet name="Data" sheetId="2" state="hidden" r:id="rId2"/>
    <sheet name="Revision history" sheetId="3" r:id="rId3"/>
  </sheets>
  <externalReferences>
    <externalReference r:id="rId6"/>
  </externalReferences>
  <definedNames>
    <definedName name="AverRead">'[1]Sheet2'!$B$8:$B$18</definedName>
    <definedName name="avg">'Data'!$A$73:$A$83</definedName>
    <definedName name="Dist">'[1]Sheet2'!$B$20:'[1]Sheet2'!$B$22</definedName>
    <definedName name="DistVal">'[1]Sheet2'!$B$20:'[1]Sheet2'!$C$22</definedName>
    <definedName name="div">'Data'!$A$114:$A$116</definedName>
    <definedName name="divisor">'Data'!$B$114:$B$115</definedName>
    <definedName name="e">'Data'!$B$114:$B$115</definedName>
    <definedName name="HzUnit">'[1]Sheet2'!$B$2:$B$4</definedName>
    <definedName name="meas_mode">'Data'!$G$127:$G$128</definedName>
    <definedName name="mode">'Data'!$A$72,'Data'!$D$72</definedName>
    <definedName name="model">'Data'!$B$5:$J$5</definedName>
    <definedName name="RH">'[1]Sheet2'!$B$24:$B$25</definedName>
    <definedName name="SensModel">'[1]Sheet2'!$C$52:$AA$52</definedName>
    <definedName name="type">'Data'!$A$69:$B$69</definedName>
    <definedName name="zero">'Data'!$B$28:$B$29</definedName>
  </definedNames>
  <calcPr fullCalcOnLoad="1"/>
</workbook>
</file>

<file path=xl/sharedStrings.xml><?xml version="1.0" encoding="utf-8"?>
<sst xmlns="http://schemas.openxmlformats.org/spreadsheetml/2006/main" count="418" uniqueCount="112">
  <si>
    <t>Frequency</t>
  </si>
  <si>
    <t>Input</t>
  </si>
  <si>
    <t>Value</t>
  </si>
  <si>
    <t xml:space="preserve">Device Under Test (SWR) </t>
  </si>
  <si>
    <t>Sensor Model</t>
  </si>
  <si>
    <t>GHz</t>
  </si>
  <si>
    <t>Power</t>
  </si>
  <si>
    <t>dBm</t>
  </si>
  <si>
    <t>Number of Average Reading</t>
  </si>
  <si>
    <t>Source of Uncertainty</t>
  </si>
  <si>
    <t>Symbol</t>
  </si>
  <si>
    <t>Probability Distribution</t>
  </si>
  <si>
    <t>Divisor</t>
  </si>
  <si>
    <t>Result</t>
  </si>
  <si>
    <t>Mismatch Gain Between Generator and Sensor</t>
  </si>
  <si>
    <r>
      <t>M</t>
    </r>
    <r>
      <rPr>
        <vertAlign val="subscript"/>
        <sz val="10"/>
        <rFont val="Arial"/>
        <family val="2"/>
      </rPr>
      <t>u</t>
    </r>
  </si>
  <si>
    <t>Rectangular</t>
  </si>
  <si>
    <t>D</t>
  </si>
  <si>
    <r>
      <t>K</t>
    </r>
    <r>
      <rPr>
        <vertAlign val="subscript"/>
        <sz val="10"/>
        <rFont val="Arial"/>
        <family val="2"/>
      </rPr>
      <t>b</t>
    </r>
  </si>
  <si>
    <t>Gaussian</t>
  </si>
  <si>
    <t>Power Sensor Linearity</t>
  </si>
  <si>
    <r>
      <t>P</t>
    </r>
    <r>
      <rPr>
        <vertAlign val="subscript"/>
        <sz val="10"/>
        <rFont val="Arial"/>
        <family val="2"/>
      </rPr>
      <t>l</t>
    </r>
  </si>
  <si>
    <r>
      <t>Z</t>
    </r>
    <r>
      <rPr>
        <vertAlign val="subscript"/>
        <sz val="10"/>
        <rFont val="Arial"/>
        <family val="2"/>
      </rPr>
      <t>s</t>
    </r>
  </si>
  <si>
    <t>N</t>
  </si>
  <si>
    <t>Combined Uncertainty-RSSed</t>
  </si>
  <si>
    <t>=</t>
  </si>
  <si>
    <t>K</t>
  </si>
  <si>
    <t>Expanded Uncertainty</t>
  </si>
  <si>
    <t>Upper Limit Uncertainty</t>
  </si>
  <si>
    <t>Lower Limit Uncertainty</t>
  </si>
  <si>
    <t>U2000A</t>
  </si>
  <si>
    <t>U2001A</t>
  </si>
  <si>
    <t>U2002A</t>
  </si>
  <si>
    <t>U2004A</t>
  </si>
  <si>
    <t>Max SWR (25 +/-10C)</t>
  </si>
  <si>
    <t>Power Linearity (25+/-10C)</t>
  </si>
  <si>
    <t>Zero Set</t>
  </si>
  <si>
    <t>Zero Drift</t>
  </si>
  <si>
    <t>Noise multiplier</t>
  </si>
  <si>
    <t>Number of avg</t>
  </si>
  <si>
    <t>rho DUT</t>
  </si>
  <si>
    <t>Zero drift</t>
  </si>
  <si>
    <t>W</t>
  </si>
  <si>
    <t>Zero set</t>
  </si>
  <si>
    <t>Sensor noise</t>
  </si>
  <si>
    <t>rho sensor</t>
  </si>
  <si>
    <t>Multiplier</t>
  </si>
  <si>
    <t>U-shape</t>
  </si>
  <si>
    <t>U2000 Series USB Power Sensor Uncertainty Calculator</t>
  </si>
  <si>
    <t>#</t>
  </si>
  <si>
    <t>Normal</t>
  </si>
  <si>
    <t>x2</t>
  </si>
  <si>
    <t>Average mode</t>
  </si>
  <si>
    <t>Power Sensor Calibration Factor Uncertainties</t>
  </si>
  <si>
    <t>Revision 2</t>
  </si>
  <si>
    <t>U2000B</t>
  </si>
  <si>
    <t>9kHz</t>
  </si>
  <si>
    <t>10MHz</t>
  </si>
  <si>
    <t>30MHz</t>
  </si>
  <si>
    <t>50MHz</t>
  </si>
  <si>
    <t>2GHz</t>
  </si>
  <si>
    <t>6GHz</t>
  </si>
  <si>
    <t>14GHz</t>
  </si>
  <si>
    <t>16GHz</t>
  </si>
  <si>
    <t>18GHz</t>
  </si>
  <si>
    <t>19GHz</t>
  </si>
  <si>
    <t>24GHz</t>
  </si>
  <si>
    <t>12.4GHz</t>
  </si>
  <si>
    <t>U2000H</t>
  </si>
  <si>
    <t>8GHz</t>
  </si>
  <si>
    <t>U2001B</t>
  </si>
  <si>
    <t>U2001H</t>
  </si>
  <si>
    <t>U2002H</t>
  </si>
  <si>
    <t>Cal factor uncertainties</t>
  </si>
  <si>
    <t>10Mhz</t>
  </si>
  <si>
    <t>1.2GHz</t>
  </si>
  <si>
    <t>14GHZ</t>
  </si>
  <si>
    <t>500MHz</t>
  </si>
  <si>
    <t>Zero Set (External)</t>
  </si>
  <si>
    <t>Zero Set (Internal)</t>
  </si>
  <si>
    <t>Internal zero</t>
  </si>
  <si>
    <t>External zero</t>
  </si>
  <si>
    <t>Value ±</t>
  </si>
  <si>
    <t>(Note: For these parameters, there are overlapping power range. In this case, worst case spec is chosen for MU calculation).</t>
  </si>
  <si>
    <t>Internal or External Zeroing</t>
  </si>
  <si>
    <t>© Agilent Technologies, Inc. 2008</t>
  </si>
  <si>
    <t>The data used in this calculation is base on the specifications as in the U2000 series USB power sensors datasheet, literature number 5989-6278EN.</t>
  </si>
  <si>
    <t>This calculation is base on ISO Guide to the Expression of Uncertainty in Measurement, often referred to as the GUM.</t>
  </si>
  <si>
    <t>Prelim Spec</t>
  </si>
  <si>
    <t>Noise Persample</t>
  </si>
  <si>
    <t>Measurement mode</t>
  </si>
  <si>
    <t>Gate length (not required for Average only mode</t>
  </si>
  <si>
    <t>Average only mode</t>
  </si>
  <si>
    <t>Time-gated mode (normal mode)</t>
  </si>
  <si>
    <t>us</t>
  </si>
  <si>
    <t>Measurement noise</t>
  </si>
  <si>
    <t>Time-gated mode &lt;2.73us</t>
  </si>
  <si>
    <t>Time-gated mode &gt;2.73us</t>
  </si>
  <si>
    <t>Time gated mode</t>
  </si>
  <si>
    <t>Time-gated mode (Normal Mode) Related Specifications</t>
  </si>
  <si>
    <t xml:space="preserve">Revision 1 </t>
  </si>
  <si>
    <t>New Creation</t>
  </si>
  <si>
    <t>Added U2000/1/2H and U2000/1B</t>
  </si>
  <si>
    <t xml:space="preserve">Revision 3 </t>
  </si>
  <si>
    <t>Measurement noise (normal mode)</t>
  </si>
  <si>
    <t>For more info on power meter and power sensor measurement uncertainty equation and calculation base on GUM, please refer to Agilent Application Note 1449-3 "Fundamental of RF and Microwave Power Measurements (Part 3), literature number 5988-9215EN.</t>
  </si>
  <si>
    <t>Revision 5</t>
  </si>
  <si>
    <t>Date updated: 25 Nov 2010</t>
  </si>
  <si>
    <t>Corrected error in mismatch uncertainty calculation</t>
  </si>
  <si>
    <t>Revision 4</t>
  </si>
  <si>
    <t>Added Time-gated (normal mode) measurement uncertainty analysis</t>
  </si>
  <si>
    <t>Minor update on spec change.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</si>
</sst>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00"/>
    <numFmt numFmtId="167" formatCode="0.0000%"/>
    <numFmt numFmtId="168" formatCode="0.0000E+00"/>
    <numFmt numFmtId="169" formatCode="0.000%"/>
    <numFmt numFmtId="170" formatCode="[$-409]h:mm:ss\ AM/PM"/>
    <numFmt numFmtId="171" formatCode="[$-409]dddd\,\ mmmm\ dd\,\ yyyy"/>
    <numFmt numFmtId="172" formatCode="0.00000"/>
    <numFmt numFmtId="173" formatCode="0.0000000"/>
  </numFmts>
  <fonts count="5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6" fontId="10" fillId="0" borderId="0" xfId="0" applyNumberFormat="1" applyFont="1" applyFill="1" applyBorder="1" applyAlignment="1" applyProtection="1">
      <alignment horizontal="center"/>
      <protection locked="0"/>
    </xf>
    <xf numFmtId="165" fontId="50" fillId="0" borderId="0" xfId="0" applyNumberFormat="1" applyFont="1" applyBorder="1" applyAlignment="1" applyProtection="1">
      <alignment/>
      <protection locked="0"/>
    </xf>
    <xf numFmtId="1" fontId="50" fillId="0" borderId="0" xfId="0" applyNumberFormat="1" applyFont="1" applyBorder="1" applyAlignment="1" applyProtection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165" fontId="1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7" fillId="0" borderId="0" xfId="0" applyNumberFormat="1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center"/>
      <protection hidden="1"/>
    </xf>
    <xf numFmtId="167" fontId="7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6" fontId="4" fillId="0" borderId="0" xfId="0" applyNumberFormat="1" applyFont="1" applyFill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8" fontId="0" fillId="0" borderId="0" xfId="0" applyNumberFormat="1" applyFont="1" applyFill="1" applyBorder="1" applyAlignment="1" applyProtection="1">
      <alignment horizontal="right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164" fontId="1" fillId="0" borderId="10" xfId="0" applyNumberFormat="1" applyFont="1" applyBorder="1" applyAlignment="1" applyProtection="1">
      <alignment horizontal="center"/>
      <protection hidden="1"/>
    </xf>
    <xf numFmtId="169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66" fontId="8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/>
      <protection hidden="1"/>
    </xf>
    <xf numFmtId="2" fontId="4" fillId="0" borderId="11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1" fontId="0" fillId="0" borderId="0" xfId="0" applyNumberFormat="1" applyFont="1" applyAlignment="1" applyProtection="1">
      <alignment/>
      <protection hidden="1"/>
    </xf>
    <xf numFmtId="11" fontId="12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M_MU_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certainty Calculator"/>
      <sheetName val="Sheet2"/>
      <sheetName val="Sheet3"/>
    </sheetNames>
    <sheetDataSet>
      <sheetData sheetId="1">
        <row r="2">
          <cell r="B2" t="str">
            <v>KHz</v>
          </cell>
        </row>
        <row r="3">
          <cell r="B3" t="str">
            <v>MHz</v>
          </cell>
        </row>
        <row r="4">
          <cell r="B4" t="str">
            <v>GHz</v>
          </cell>
        </row>
        <row r="8">
          <cell r="B8">
            <v>1</v>
          </cell>
        </row>
        <row r="9">
          <cell r="B9">
            <v>2</v>
          </cell>
        </row>
        <row r="10">
          <cell r="B10">
            <v>4</v>
          </cell>
        </row>
        <row r="11">
          <cell r="B11">
            <v>8</v>
          </cell>
        </row>
        <row r="12">
          <cell r="B12">
            <v>16</v>
          </cell>
        </row>
        <row r="13">
          <cell r="B13">
            <v>32</v>
          </cell>
        </row>
        <row r="14">
          <cell r="B14">
            <v>64</v>
          </cell>
        </row>
        <row r="15">
          <cell r="B15">
            <v>128</v>
          </cell>
        </row>
        <row r="16">
          <cell r="B16">
            <v>256</v>
          </cell>
        </row>
        <row r="17">
          <cell r="B17">
            <v>512</v>
          </cell>
        </row>
        <row r="18">
          <cell r="B18">
            <v>1024</v>
          </cell>
        </row>
        <row r="20">
          <cell r="B20" t="str">
            <v>Rectangular</v>
          </cell>
        </row>
        <row r="22">
          <cell r="B22" t="str">
            <v>U-Shape</v>
          </cell>
          <cell r="C22">
            <v>1.4142135623730951</v>
          </cell>
        </row>
        <row r="24">
          <cell r="B24" t="str">
            <v>15% to 75% RH</v>
          </cell>
        </row>
        <row r="25">
          <cell r="B25" t="str">
            <v>75% to 95% RH</v>
          </cell>
        </row>
        <row r="52">
          <cell r="C52" t="str">
            <v>E9300A</v>
          </cell>
          <cell r="D52" t="str">
            <v>E9301A</v>
          </cell>
          <cell r="E52" t="str">
            <v>E9304A</v>
          </cell>
          <cell r="F52" t="str">
            <v>E9300B</v>
          </cell>
          <cell r="G52" t="str">
            <v>E9301B</v>
          </cell>
          <cell r="H52" t="str">
            <v>E9300H</v>
          </cell>
          <cell r="I52" t="str">
            <v>E9301H</v>
          </cell>
          <cell r="J52" t="str">
            <v>8481A</v>
          </cell>
          <cell r="K52" t="str">
            <v>8482A</v>
          </cell>
          <cell r="L52" t="str">
            <v>8483A</v>
          </cell>
          <cell r="M52" t="str">
            <v>8485A</v>
          </cell>
          <cell r="N52" t="str">
            <v>8487A</v>
          </cell>
          <cell r="O52" t="str">
            <v>R8486A</v>
          </cell>
          <cell r="P52" t="str">
            <v>Q8486A</v>
          </cell>
          <cell r="Q52" t="str">
            <v>8481B</v>
          </cell>
          <cell r="R52" t="str">
            <v>8482B</v>
          </cell>
          <cell r="S52" t="str">
            <v>8481D</v>
          </cell>
          <cell r="T52" t="str">
            <v>8485D</v>
          </cell>
          <cell r="U52" t="str">
            <v>8487D</v>
          </cell>
          <cell r="V52" t="str">
            <v>8481H</v>
          </cell>
          <cell r="W52" t="str">
            <v>8482H</v>
          </cell>
          <cell r="X52" t="str">
            <v>R8486D</v>
          </cell>
          <cell r="Y52" t="str">
            <v>Q8486D</v>
          </cell>
          <cell r="Z52" t="str">
            <v>E4412A</v>
          </cell>
          <cell r="AA52" t="str">
            <v>E4413A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7.8515625" style="8" customWidth="1"/>
    <col min="2" max="2" width="16.421875" style="8" customWidth="1"/>
    <col min="3" max="3" width="15.57421875" style="8" customWidth="1"/>
    <col min="4" max="4" width="28.140625" style="8" customWidth="1"/>
    <col min="5" max="5" width="12.421875" style="8" customWidth="1"/>
    <col min="6" max="6" width="18.00390625" style="8" customWidth="1"/>
    <col min="7" max="16384" width="9.140625" style="8" customWidth="1"/>
  </cols>
  <sheetData>
    <row r="1" ht="15.75">
      <c r="A1" s="17" t="s">
        <v>48</v>
      </c>
    </row>
    <row r="2" spans="1:3" ht="12.75">
      <c r="A2" s="18"/>
      <c r="C2" s="18"/>
    </row>
    <row r="3" spans="1:6" ht="12.75">
      <c r="A3" s="19" t="s">
        <v>1</v>
      </c>
      <c r="B3" s="28" t="s">
        <v>2</v>
      </c>
      <c r="C3" s="29"/>
      <c r="D3" s="9"/>
      <c r="E3" s="10"/>
      <c r="F3" s="11"/>
    </row>
    <row r="4" spans="1:6" ht="12.75">
      <c r="A4" s="20" t="s">
        <v>3</v>
      </c>
      <c r="B4" s="1">
        <v>1.1</v>
      </c>
      <c r="C4" s="30"/>
      <c r="D4" s="12"/>
      <c r="E4" s="10"/>
      <c r="F4" s="11"/>
    </row>
    <row r="5" spans="1:6" ht="12.75">
      <c r="A5" s="20" t="s">
        <v>4</v>
      </c>
      <c r="B5" s="2" t="s">
        <v>31</v>
      </c>
      <c r="C5" s="29"/>
      <c r="D5" s="13"/>
      <c r="E5" s="10"/>
      <c r="F5" s="11"/>
    </row>
    <row r="6" spans="1:6" ht="12.75">
      <c r="A6" s="20" t="s">
        <v>0</v>
      </c>
      <c r="B6" s="1">
        <v>1</v>
      </c>
      <c r="C6" s="31" t="s">
        <v>5</v>
      </c>
      <c r="D6" s="41" t="str">
        <f>VLOOKUP(B5,Data!A120:B128,2,FALSE)</f>
        <v> </v>
      </c>
      <c r="E6" s="42"/>
      <c r="F6" s="24"/>
    </row>
    <row r="7" spans="1:6" ht="12.75">
      <c r="A7" s="20" t="s">
        <v>6</v>
      </c>
      <c r="B7" s="1">
        <v>10</v>
      </c>
      <c r="C7" s="31" t="s">
        <v>7</v>
      </c>
      <c r="D7" s="41" t="str">
        <f>VLOOKUP(B5,Data!D120:E128,2,FALSE)</f>
        <v> </v>
      </c>
      <c r="E7" s="43">
        <f>10^(B7/10)/1000</f>
        <v>0.01</v>
      </c>
      <c r="F7" s="42" t="s">
        <v>42</v>
      </c>
    </row>
    <row r="8" spans="1:6" ht="12.75">
      <c r="A8" s="20" t="s">
        <v>8</v>
      </c>
      <c r="B8" s="1">
        <v>16</v>
      </c>
      <c r="C8" s="31"/>
      <c r="D8" s="44"/>
      <c r="E8" s="42"/>
      <c r="F8" s="24"/>
    </row>
    <row r="9" spans="1:6" ht="12.75">
      <c r="A9" s="20" t="s">
        <v>52</v>
      </c>
      <c r="B9" s="3" t="s">
        <v>50</v>
      </c>
      <c r="C9" s="31"/>
      <c r="D9" s="32"/>
      <c r="E9" s="42"/>
      <c r="F9" s="24"/>
    </row>
    <row r="10" spans="1:6" ht="12.75">
      <c r="A10" s="20" t="s">
        <v>84</v>
      </c>
      <c r="B10" s="3" t="s">
        <v>81</v>
      </c>
      <c r="C10" s="31"/>
      <c r="D10" s="32"/>
      <c r="E10" s="42"/>
      <c r="F10" s="24"/>
    </row>
    <row r="11" spans="1:6" ht="12.75">
      <c r="A11" s="20" t="s">
        <v>90</v>
      </c>
      <c r="B11" s="14" t="s">
        <v>93</v>
      </c>
      <c r="C11" s="32"/>
      <c r="D11" s="32"/>
      <c r="E11" s="42"/>
      <c r="F11" s="24"/>
    </row>
    <row r="12" spans="1:6" ht="12.75">
      <c r="A12" s="20" t="s">
        <v>91</v>
      </c>
      <c r="B12" s="15">
        <v>2000</v>
      </c>
      <c r="C12" s="33" t="s">
        <v>94</v>
      </c>
      <c r="D12" s="32"/>
      <c r="E12" s="42"/>
      <c r="F12" s="24"/>
    </row>
    <row r="13" spans="1:6" ht="12.75">
      <c r="A13" s="21"/>
      <c r="B13" s="9"/>
      <c r="C13" s="32"/>
      <c r="D13" s="32"/>
      <c r="E13" s="42"/>
      <c r="F13" s="24"/>
    </row>
    <row r="14" spans="1:6" ht="12.75">
      <c r="A14" s="22" t="s">
        <v>9</v>
      </c>
      <c r="B14" s="22" t="s">
        <v>10</v>
      </c>
      <c r="C14" s="34" t="s">
        <v>82</v>
      </c>
      <c r="D14" s="34" t="s">
        <v>11</v>
      </c>
      <c r="E14" s="34" t="s">
        <v>12</v>
      </c>
      <c r="F14" s="45" t="s">
        <v>13</v>
      </c>
    </row>
    <row r="15" spans="1:6" ht="12.75">
      <c r="A15" s="23" t="s">
        <v>14</v>
      </c>
      <c r="B15" s="39" t="s">
        <v>15</v>
      </c>
      <c r="C15" s="35" t="str">
        <f>"|Гg| = "&amp;TEXT(Data!B109,"0.000")</f>
        <v>|Гg| = 0.048</v>
      </c>
      <c r="D15" s="6" t="s">
        <v>47</v>
      </c>
      <c r="E15" s="53">
        <f>VLOOKUP(D15,Data!$A$114:$B$116,2,FALSE)</f>
        <v>1.4142135623730951</v>
      </c>
      <c r="F15" s="54">
        <f>2*Data!B109*Data!B110/calculator!E15</f>
        <v>0.004110166847943267</v>
      </c>
    </row>
    <row r="16" spans="1:6" ht="12.75">
      <c r="A16" s="23"/>
      <c r="B16" s="39"/>
      <c r="C16" s="36" t="str">
        <f>"|Гs| = "&amp;TEXT(Data!B110,"0.000")</f>
        <v>|Гs| = 0.061</v>
      </c>
      <c r="D16" s="7"/>
      <c r="E16" s="39"/>
      <c r="F16" s="39"/>
    </row>
    <row r="17" spans="1:6" ht="12.75">
      <c r="A17" s="24" t="s">
        <v>41</v>
      </c>
      <c r="B17" s="40" t="s">
        <v>17</v>
      </c>
      <c r="C17" s="37">
        <f>IF(B11="Average only mode",Data!H132,Data!H133)</f>
        <v>0.00011</v>
      </c>
      <c r="D17" s="4" t="s">
        <v>16</v>
      </c>
      <c r="E17" s="55">
        <f>VLOOKUP(D17,Data!$A$114:$B$116,2,FALSE)</f>
        <v>1.7320508075688772</v>
      </c>
      <c r="F17" s="56">
        <f>C17/E7/E17</f>
        <v>0.006350852961085883</v>
      </c>
    </row>
    <row r="18" spans="1:6" ht="15.75">
      <c r="A18" s="24" t="s">
        <v>53</v>
      </c>
      <c r="B18" s="40" t="s">
        <v>18</v>
      </c>
      <c r="C18" s="38">
        <f>INDEX(Data!A92:J106,MATCH(calculator!B6,Data!A92:A106,1),MATCH(calculator!B5,Data!A92:J92,0))</f>
        <v>0.016</v>
      </c>
      <c r="D18" s="4" t="s">
        <v>19</v>
      </c>
      <c r="E18" s="55">
        <f>VLOOKUP(D18,Data!$A$114:$B$116,2,FALSE)</f>
        <v>2</v>
      </c>
      <c r="F18" s="56">
        <f>C18/E18</f>
        <v>0.008</v>
      </c>
    </row>
    <row r="19" spans="1:6" ht="15.75">
      <c r="A19" s="24" t="s">
        <v>20</v>
      </c>
      <c r="B19" s="40" t="s">
        <v>21</v>
      </c>
      <c r="C19" s="38">
        <f>IF(B11="Average only mode",HLOOKUP(B5,Data!B23:J24,2,FALSE),HLOOKUP(B5,Data!B139:J140,2,FALSE))</f>
        <v>0.04</v>
      </c>
      <c r="D19" s="4" t="s">
        <v>16</v>
      </c>
      <c r="E19" s="55">
        <f>VLOOKUP(D19,Data!$A$114:$B$116,2,FALSE)</f>
        <v>1.7320508075688772</v>
      </c>
      <c r="F19" s="56">
        <f>C19/E19</f>
        <v>0.023094010767585032</v>
      </c>
    </row>
    <row r="20" spans="1:6" ht="15.75">
      <c r="A20" s="24" t="s">
        <v>43</v>
      </c>
      <c r="B20" s="40" t="s">
        <v>22</v>
      </c>
      <c r="C20" s="37">
        <f>INDEX(Data!A131:C133,MATCH(calculator!B10,Data!A131:A133,0),MATCH(B11,Data!A131:C131,0))</f>
        <v>0.0002</v>
      </c>
      <c r="D20" s="4" t="s">
        <v>16</v>
      </c>
      <c r="E20" s="55">
        <f>VLOOKUP(D20,Data!$A$114:$B$116,2,FALSE)</f>
        <v>1.7320508075688772</v>
      </c>
      <c r="F20" s="56">
        <f>C20/E7/E20</f>
        <v>0.011547005383792516</v>
      </c>
    </row>
    <row r="21" spans="1:6" ht="12.75">
      <c r="A21" s="25" t="s">
        <v>95</v>
      </c>
      <c r="B21" s="40" t="s">
        <v>23</v>
      </c>
      <c r="C21" s="37">
        <f>IF(B11="Average only mode",Data!B196,Data!B197)</f>
        <v>0.00018</v>
      </c>
      <c r="D21" s="4" t="s">
        <v>16</v>
      </c>
      <c r="E21" s="55">
        <f>VLOOKUP(D21,Data!$A$114:$B$116,2,FALSE)</f>
        <v>1.7320508075688772</v>
      </c>
      <c r="F21" s="56">
        <f>C21/calculator!E7/E21</f>
        <v>0.010392304845413265</v>
      </c>
    </row>
    <row r="22" spans="1:6" ht="12.75">
      <c r="A22" s="24"/>
      <c r="B22" s="24"/>
      <c r="C22" s="29"/>
      <c r="D22" s="29"/>
      <c r="E22" s="42"/>
      <c r="F22" s="46"/>
    </row>
    <row r="23" spans="1:6" ht="12.75">
      <c r="A23" s="24"/>
      <c r="B23" s="24"/>
      <c r="C23" s="24"/>
      <c r="D23" s="47" t="s">
        <v>24</v>
      </c>
      <c r="E23" s="48" t="s">
        <v>25</v>
      </c>
      <c r="F23" s="49">
        <f>((F15^2+F17^2+F18^2+F19^2+F20^2+F21^2))^0.5</f>
        <v>0.029931479607896633</v>
      </c>
    </row>
    <row r="24" spans="1:6" ht="12.75">
      <c r="A24" s="24"/>
      <c r="B24" s="24"/>
      <c r="C24" s="32"/>
      <c r="D24" s="47" t="s">
        <v>26</v>
      </c>
      <c r="E24" s="42" t="s">
        <v>25</v>
      </c>
      <c r="F24" s="50">
        <v>2</v>
      </c>
    </row>
    <row r="25" spans="1:6" ht="12.75">
      <c r="A25" s="24"/>
      <c r="B25" s="24"/>
      <c r="C25" s="24"/>
      <c r="D25" s="47" t="s">
        <v>27</v>
      </c>
      <c r="E25" s="48" t="s">
        <v>25</v>
      </c>
      <c r="F25" s="49">
        <f>F23*F24</f>
        <v>0.059862959215793266</v>
      </c>
    </row>
    <row r="26" spans="1:6" ht="12.75">
      <c r="A26" s="24"/>
      <c r="B26" s="24"/>
      <c r="C26" s="29"/>
      <c r="D26" s="51" t="s">
        <v>28</v>
      </c>
      <c r="E26" s="42" t="s">
        <v>25</v>
      </c>
      <c r="F26" s="52" t="str">
        <f>"+ "&amp;TEXT(ABS(10*LOG((1+F25),10)),"0.000")&amp;"dB "</f>
        <v>+ 0.252dB </v>
      </c>
    </row>
    <row r="27" spans="1:6" ht="12.75">
      <c r="A27" s="24"/>
      <c r="B27" s="24"/>
      <c r="C27" s="29"/>
      <c r="D27" s="51" t="s">
        <v>29</v>
      </c>
      <c r="E27" s="42" t="s">
        <v>25</v>
      </c>
      <c r="F27" s="52" t="str">
        <f>"− "&amp;TEXT(ABS(10*LOG((1-F25),10)),"0.000")&amp;"dB "</f>
        <v>− 0.268dB </v>
      </c>
    </row>
    <row r="28" spans="1:6" ht="12.75">
      <c r="A28" s="24"/>
      <c r="B28" s="24"/>
      <c r="C28" s="24"/>
      <c r="D28" s="24"/>
      <c r="E28" s="24"/>
      <c r="F28" s="24"/>
    </row>
    <row r="29" spans="1:6" ht="12.75">
      <c r="A29" s="26"/>
      <c r="B29" s="18"/>
      <c r="C29" s="18"/>
      <c r="D29" s="18"/>
      <c r="E29" s="18"/>
      <c r="F29" s="18"/>
    </row>
    <row r="30" spans="1:6" ht="12.75">
      <c r="A30" s="27" t="s">
        <v>106</v>
      </c>
      <c r="B30" s="18"/>
      <c r="C30" s="18"/>
      <c r="D30" s="18"/>
      <c r="E30" s="18"/>
      <c r="F30" s="18"/>
    </row>
    <row r="31" spans="1:6" ht="12.75">
      <c r="A31" s="27" t="s">
        <v>107</v>
      </c>
      <c r="B31" s="18"/>
      <c r="C31" s="18"/>
      <c r="D31" s="18"/>
      <c r="E31" s="18"/>
      <c r="F31" s="18"/>
    </row>
    <row r="32" spans="1:3" ht="12.75">
      <c r="A32" s="18"/>
      <c r="B32" s="18"/>
      <c r="C32" s="18"/>
    </row>
    <row r="33" spans="1:4" ht="12.75">
      <c r="A33" s="26" t="s">
        <v>85</v>
      </c>
      <c r="B33" s="18"/>
      <c r="C33" s="18"/>
      <c r="D33" s="16"/>
    </row>
    <row r="34" spans="1:3" ht="12.75">
      <c r="A34" s="18" t="s">
        <v>86</v>
      </c>
      <c r="B34" s="18"/>
      <c r="C34" s="18"/>
    </row>
    <row r="35" spans="1:3" ht="12.75">
      <c r="A35" s="18" t="s">
        <v>87</v>
      </c>
      <c r="B35" s="18"/>
      <c r="C35" s="18"/>
    </row>
    <row r="36" spans="1:3" ht="12.75">
      <c r="A36" s="18" t="s">
        <v>105</v>
      </c>
      <c r="B36" s="18"/>
      <c r="C36" s="18"/>
    </row>
    <row r="37" spans="1:3" ht="12.75">
      <c r="A37" s="18"/>
      <c r="B37" s="18"/>
      <c r="C37" s="18"/>
    </row>
    <row r="38" spans="1:3" ht="12.75">
      <c r="A38" s="18"/>
      <c r="C38" s="18"/>
    </row>
    <row r="39" ht="12.75">
      <c r="A39" s="18"/>
    </row>
  </sheetData>
  <sheetProtection password="E94E" sheet="1"/>
  <mergeCells count="5">
    <mergeCell ref="F15:F16"/>
    <mergeCell ref="A15:A16"/>
    <mergeCell ref="B15:B16"/>
    <mergeCell ref="D15:D16"/>
    <mergeCell ref="E15:E16"/>
  </mergeCells>
  <dataValidations count="6">
    <dataValidation type="list" showInputMessage="1" showErrorMessage="1" sqref="D15:D21">
      <formula1>div</formula1>
    </dataValidation>
    <dataValidation type="list" showInputMessage="1" showErrorMessage="1" sqref="B5">
      <formula1>model</formula1>
    </dataValidation>
    <dataValidation type="list" showInputMessage="1" showErrorMessage="1" sqref="B8">
      <formula1>avg</formula1>
    </dataValidation>
    <dataValidation type="list" allowBlank="1" showInputMessage="1" showErrorMessage="1" sqref="B9">
      <formula1>type</formula1>
    </dataValidation>
    <dataValidation type="list" allowBlank="1" showInputMessage="1" showErrorMessage="1" sqref="B10">
      <formula1>zero</formula1>
    </dataValidation>
    <dataValidation type="list" allowBlank="1" showInputMessage="1" showErrorMessage="1" sqref="B11">
      <formula1>meas_mode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1"/>
  <sheetViews>
    <sheetView zoomScalePageLayoutView="0" workbookViewId="0" topLeftCell="A20">
      <selection activeCell="E37" sqref="E37"/>
    </sheetView>
  </sheetViews>
  <sheetFormatPr defaultColWidth="9.140625" defaultRowHeight="12.75"/>
  <cols>
    <col min="1" max="1" width="21.00390625" style="18" customWidth="1"/>
    <col min="2" max="2" width="13.57421875" style="18" customWidth="1"/>
    <col min="3" max="5" width="12.00390625" style="18" customWidth="1"/>
    <col min="6" max="6" width="9.140625" style="18" customWidth="1"/>
    <col min="7" max="7" width="9.57421875" style="18" bestFit="1" customWidth="1"/>
    <col min="8" max="8" width="12.421875" style="18" bestFit="1" customWidth="1"/>
    <col min="9" max="16384" width="9.140625" style="18" customWidth="1"/>
  </cols>
  <sheetData>
    <row r="3" ht="12.75">
      <c r="A3" s="26" t="s">
        <v>34</v>
      </c>
    </row>
    <row r="5" spans="1:10" ht="12.75">
      <c r="A5" s="18" t="s">
        <v>0</v>
      </c>
      <c r="B5" s="18" t="s">
        <v>30</v>
      </c>
      <c r="C5" s="18" t="s">
        <v>31</v>
      </c>
      <c r="D5" s="18" t="s">
        <v>32</v>
      </c>
      <c r="E5" s="18" t="s">
        <v>33</v>
      </c>
      <c r="F5" s="18" t="s">
        <v>55</v>
      </c>
      <c r="G5" s="18" t="s">
        <v>68</v>
      </c>
      <c r="H5" s="18" t="s">
        <v>70</v>
      </c>
      <c r="I5" s="18" t="s">
        <v>71</v>
      </c>
      <c r="J5" s="18" t="s">
        <v>72</v>
      </c>
    </row>
    <row r="6" spans="1:11" ht="12.75">
      <c r="A6" s="18">
        <v>9E-06</v>
      </c>
      <c r="B6" s="18" t="s">
        <v>49</v>
      </c>
      <c r="C6" s="18" t="s">
        <v>49</v>
      </c>
      <c r="D6" s="18" t="s">
        <v>49</v>
      </c>
      <c r="E6" s="18">
        <v>1.13</v>
      </c>
      <c r="F6" s="18" t="s">
        <v>49</v>
      </c>
      <c r="G6" s="18" t="s">
        <v>49</v>
      </c>
      <c r="H6" s="18" t="s">
        <v>49</v>
      </c>
      <c r="I6" s="18" t="s">
        <v>49</v>
      </c>
      <c r="J6" s="18" t="s">
        <v>49</v>
      </c>
      <c r="K6" s="18" t="s">
        <v>56</v>
      </c>
    </row>
    <row r="7" spans="1:11" ht="12.75">
      <c r="A7" s="18">
        <v>0.01</v>
      </c>
      <c r="B7" s="18">
        <v>1.15</v>
      </c>
      <c r="C7" s="18">
        <v>1.15</v>
      </c>
      <c r="D7" s="18" t="s">
        <v>49</v>
      </c>
      <c r="E7" s="18">
        <v>1.13</v>
      </c>
      <c r="F7" s="18">
        <v>1.12</v>
      </c>
      <c r="G7" s="18">
        <v>1.15</v>
      </c>
      <c r="H7" s="18">
        <v>1.12</v>
      </c>
      <c r="I7" s="18">
        <v>1.15</v>
      </c>
      <c r="J7" s="18" t="s">
        <v>49</v>
      </c>
      <c r="K7" s="18" t="s">
        <v>57</v>
      </c>
    </row>
    <row r="8" spans="1:11" ht="12.75">
      <c r="A8" s="18">
        <v>0.03</v>
      </c>
      <c r="B8" s="18">
        <v>1.13</v>
      </c>
      <c r="C8" s="18">
        <v>1.13</v>
      </c>
      <c r="D8" s="18" t="s">
        <v>49</v>
      </c>
      <c r="E8" s="18">
        <v>1.13</v>
      </c>
      <c r="F8" s="18">
        <v>1.12</v>
      </c>
      <c r="G8" s="18">
        <v>1.15</v>
      </c>
      <c r="H8" s="18">
        <v>1.12</v>
      </c>
      <c r="I8" s="18">
        <v>1.15</v>
      </c>
      <c r="J8" s="18" t="s">
        <v>49</v>
      </c>
      <c r="K8" s="18" t="s">
        <v>58</v>
      </c>
    </row>
    <row r="9" spans="1:11" ht="12.75">
      <c r="A9" s="18">
        <v>0.05</v>
      </c>
      <c r="B9" s="18">
        <v>1.13</v>
      </c>
      <c r="C9" s="18">
        <v>1.13</v>
      </c>
      <c r="D9" s="18">
        <v>1.13</v>
      </c>
      <c r="E9" s="18">
        <v>1.13</v>
      </c>
      <c r="F9" s="18">
        <v>1.12</v>
      </c>
      <c r="G9" s="18">
        <v>1.15</v>
      </c>
      <c r="H9" s="18">
        <v>1.12</v>
      </c>
      <c r="I9" s="18">
        <v>1.15</v>
      </c>
      <c r="J9" s="18">
        <v>1.15</v>
      </c>
      <c r="K9" s="18" t="s">
        <v>59</v>
      </c>
    </row>
    <row r="10" spans="1:11" ht="12.75">
      <c r="A10" s="18">
        <v>2</v>
      </c>
      <c r="B10" s="18">
        <v>1.19</v>
      </c>
      <c r="C10" s="18">
        <v>1.19</v>
      </c>
      <c r="D10" s="18">
        <v>1.19</v>
      </c>
      <c r="E10" s="18">
        <v>1.19</v>
      </c>
      <c r="F10" s="18">
        <v>1.17</v>
      </c>
      <c r="G10" s="18">
        <v>1.15</v>
      </c>
      <c r="H10" s="18">
        <v>1.17</v>
      </c>
      <c r="I10" s="18">
        <v>1.15</v>
      </c>
      <c r="J10" s="18">
        <v>1.15</v>
      </c>
      <c r="K10" s="18" t="s">
        <v>60</v>
      </c>
    </row>
    <row r="11" spans="1:11" ht="12.75">
      <c r="A11" s="18">
        <v>6</v>
      </c>
      <c r="B11" s="18">
        <v>1.19</v>
      </c>
      <c r="C11" s="18">
        <v>1.19</v>
      </c>
      <c r="D11" s="18">
        <v>1.19</v>
      </c>
      <c r="E11" s="18">
        <v>1.19</v>
      </c>
      <c r="F11" s="18">
        <v>1.17</v>
      </c>
      <c r="G11" s="18">
        <v>1.15</v>
      </c>
      <c r="H11" s="18">
        <v>1.17</v>
      </c>
      <c r="I11" s="18">
        <v>1.15</v>
      </c>
      <c r="J11" s="18">
        <v>1.15</v>
      </c>
      <c r="K11" s="18" t="s">
        <v>61</v>
      </c>
    </row>
    <row r="12" spans="1:11" ht="12.75">
      <c r="A12" s="18">
        <v>8</v>
      </c>
      <c r="B12" s="18">
        <v>1.19</v>
      </c>
      <c r="C12" s="18">
        <v>1.19</v>
      </c>
      <c r="D12" s="18">
        <v>1.19</v>
      </c>
      <c r="E12" s="18">
        <v>1.19</v>
      </c>
      <c r="F12" s="18">
        <v>1.17</v>
      </c>
      <c r="G12" s="18">
        <v>1.25</v>
      </c>
      <c r="H12" s="18" t="s">
        <v>49</v>
      </c>
      <c r="I12" s="18" t="s">
        <v>49</v>
      </c>
      <c r="J12" s="18">
        <v>1.25</v>
      </c>
      <c r="K12" s="18" t="s">
        <v>69</v>
      </c>
    </row>
    <row r="13" spans="1:11" ht="12.75">
      <c r="A13" s="18">
        <v>12.4</v>
      </c>
      <c r="B13" s="18">
        <v>1.19</v>
      </c>
      <c r="C13" s="18">
        <v>1.19</v>
      </c>
      <c r="D13" s="18">
        <v>1.19</v>
      </c>
      <c r="E13" s="18">
        <v>1.19</v>
      </c>
      <c r="F13" s="18">
        <v>1.24</v>
      </c>
      <c r="G13" s="18">
        <v>1.28</v>
      </c>
      <c r="H13" s="18" t="s">
        <v>49</v>
      </c>
      <c r="I13" s="18" t="s">
        <v>49</v>
      </c>
      <c r="J13" s="18">
        <v>1.28</v>
      </c>
      <c r="K13" s="18" t="s">
        <v>67</v>
      </c>
    </row>
    <row r="14" spans="1:11" ht="12.75">
      <c r="A14" s="18">
        <v>14</v>
      </c>
      <c r="B14" s="18">
        <v>1.22</v>
      </c>
      <c r="C14" s="18" t="s">
        <v>49</v>
      </c>
      <c r="D14" s="18">
        <v>1.22</v>
      </c>
      <c r="E14" s="18" t="s">
        <v>49</v>
      </c>
      <c r="F14" s="18">
        <v>1.24</v>
      </c>
      <c r="G14" s="18">
        <v>1.28</v>
      </c>
      <c r="H14" s="18" t="s">
        <v>49</v>
      </c>
      <c r="I14" s="18" t="s">
        <v>49</v>
      </c>
      <c r="J14" s="18">
        <v>1.28</v>
      </c>
      <c r="K14" s="18" t="s">
        <v>62</v>
      </c>
    </row>
    <row r="15" spans="1:11" ht="12.75">
      <c r="A15" s="18">
        <v>16</v>
      </c>
      <c r="B15" s="18">
        <v>1.26</v>
      </c>
      <c r="C15" s="18" t="s">
        <v>49</v>
      </c>
      <c r="D15" s="18">
        <v>1.26</v>
      </c>
      <c r="E15" s="18" t="s">
        <v>49</v>
      </c>
      <c r="F15" s="18">
        <v>1.24</v>
      </c>
      <c r="G15" s="18">
        <v>1.28</v>
      </c>
      <c r="H15" s="18" t="s">
        <v>49</v>
      </c>
      <c r="I15" s="18" t="s">
        <v>49</v>
      </c>
      <c r="J15" s="18">
        <v>1.28</v>
      </c>
      <c r="K15" s="18" t="s">
        <v>63</v>
      </c>
    </row>
    <row r="16" spans="1:11" ht="12.75">
      <c r="A16" s="18">
        <v>18</v>
      </c>
      <c r="B16" s="18">
        <v>1.26</v>
      </c>
      <c r="C16" s="18" t="s">
        <v>49</v>
      </c>
      <c r="D16" s="18">
        <v>1.26</v>
      </c>
      <c r="E16" s="18" t="s">
        <v>49</v>
      </c>
      <c r="F16" s="18">
        <v>1.24</v>
      </c>
      <c r="G16" s="18">
        <v>1.28</v>
      </c>
      <c r="H16" s="18" t="s">
        <v>49</v>
      </c>
      <c r="I16" s="18" t="s">
        <v>49</v>
      </c>
      <c r="J16" s="57">
        <v>1.3</v>
      </c>
      <c r="K16" s="18" t="s">
        <v>64</v>
      </c>
    </row>
    <row r="17" spans="1:11" ht="12.75">
      <c r="A17" s="18">
        <v>19</v>
      </c>
      <c r="B17" s="18" t="s">
        <v>49</v>
      </c>
      <c r="C17" s="18" t="s">
        <v>49</v>
      </c>
      <c r="D17" s="57">
        <v>1.3</v>
      </c>
      <c r="E17" s="18" t="s">
        <v>49</v>
      </c>
      <c r="F17" s="18" t="s">
        <v>49</v>
      </c>
      <c r="G17" s="18" t="s">
        <v>49</v>
      </c>
      <c r="H17" s="18" t="s">
        <v>49</v>
      </c>
      <c r="I17" s="18" t="s">
        <v>49</v>
      </c>
      <c r="J17" s="57">
        <v>1.3</v>
      </c>
      <c r="K17" s="18" t="s">
        <v>65</v>
      </c>
    </row>
    <row r="18" spans="1:11" ht="12.75">
      <c r="A18" s="18">
        <v>24</v>
      </c>
      <c r="B18" s="18" t="s">
        <v>49</v>
      </c>
      <c r="C18" s="18" t="s">
        <v>49</v>
      </c>
      <c r="D18" s="57">
        <v>1.3</v>
      </c>
      <c r="E18" s="18" t="s">
        <v>49</v>
      </c>
      <c r="F18" s="18" t="s">
        <v>49</v>
      </c>
      <c r="G18" s="18" t="s">
        <v>49</v>
      </c>
      <c r="H18" s="18" t="s">
        <v>49</v>
      </c>
      <c r="I18" s="18" t="s">
        <v>49</v>
      </c>
      <c r="J18" s="57">
        <v>1.3</v>
      </c>
      <c r="K18" s="18" t="s">
        <v>66</v>
      </c>
    </row>
    <row r="22" ht="12.75">
      <c r="A22" s="26" t="s">
        <v>35</v>
      </c>
    </row>
    <row r="23" spans="2:10" ht="12.75">
      <c r="B23" s="18" t="s">
        <v>30</v>
      </c>
      <c r="C23" s="18" t="s">
        <v>31</v>
      </c>
      <c r="D23" s="18" t="s">
        <v>32</v>
      </c>
      <c r="E23" s="18" t="s">
        <v>33</v>
      </c>
      <c r="F23" s="18" t="s">
        <v>55</v>
      </c>
      <c r="G23" s="18" t="s">
        <v>68</v>
      </c>
      <c r="H23" s="18" t="s">
        <v>70</v>
      </c>
      <c r="I23" s="18" t="s">
        <v>71</v>
      </c>
      <c r="J23" s="18" t="s">
        <v>72</v>
      </c>
    </row>
    <row r="24" spans="2:10" ht="12.75">
      <c r="B24" s="58">
        <v>0.03</v>
      </c>
      <c r="C24" s="58">
        <v>0.03</v>
      </c>
      <c r="D24" s="58">
        <v>0.03</v>
      </c>
      <c r="E24" s="58">
        <v>0.03</v>
      </c>
      <c r="F24" s="59">
        <v>0.035</v>
      </c>
      <c r="G24" s="58">
        <v>0.04</v>
      </c>
      <c r="H24" s="59">
        <v>0.035</v>
      </c>
      <c r="I24" s="58">
        <v>0.04</v>
      </c>
      <c r="J24" s="58">
        <v>0.04</v>
      </c>
    </row>
    <row r="28" ht="12.75">
      <c r="B28" s="18" t="s">
        <v>80</v>
      </c>
    </row>
    <row r="29" ht="12.75">
      <c r="B29" s="18" t="s">
        <v>81</v>
      </c>
    </row>
    <row r="32" spans="1:7" ht="12.75">
      <c r="A32" s="26" t="s">
        <v>78</v>
      </c>
      <c r="B32" s="60" t="s">
        <v>83</v>
      </c>
      <c r="G32" s="61"/>
    </row>
    <row r="33" spans="2:14" ht="12.75">
      <c r="B33" s="18" t="s">
        <v>30</v>
      </c>
      <c r="C33" s="18" t="s">
        <v>31</v>
      </c>
      <c r="D33" s="18" t="s">
        <v>32</v>
      </c>
      <c r="E33" s="18" t="s">
        <v>33</v>
      </c>
      <c r="G33" s="61"/>
      <c r="H33" s="18" t="s">
        <v>55</v>
      </c>
      <c r="I33" s="18" t="s">
        <v>70</v>
      </c>
      <c r="L33" s="18" t="s">
        <v>68</v>
      </c>
      <c r="M33" s="18" t="s">
        <v>71</v>
      </c>
      <c r="N33" s="18" t="s">
        <v>72</v>
      </c>
    </row>
    <row r="34" spans="1:14" ht="12.75">
      <c r="A34" s="18">
        <v>-60</v>
      </c>
      <c r="B34" s="62">
        <v>6E-10</v>
      </c>
      <c r="C34" s="62">
        <v>6E-10</v>
      </c>
      <c r="D34" s="62">
        <v>6E-10</v>
      </c>
      <c r="E34" s="62">
        <v>6E-10</v>
      </c>
      <c r="G34" s="61">
        <v>-30</v>
      </c>
      <c r="H34" s="62">
        <v>8E-07</v>
      </c>
      <c r="I34" s="62">
        <v>8E-07</v>
      </c>
      <c r="K34" s="18">
        <v>-50</v>
      </c>
      <c r="L34" s="62">
        <v>8E-09</v>
      </c>
      <c r="M34" s="62">
        <v>8E-09</v>
      </c>
      <c r="N34" s="62">
        <v>8E-09</v>
      </c>
    </row>
    <row r="35" spans="1:14" ht="12.75">
      <c r="A35" s="18">
        <v>-38</v>
      </c>
      <c r="B35" s="62">
        <v>1.5E-09</v>
      </c>
      <c r="C35" s="62">
        <v>1.5E-09</v>
      </c>
      <c r="D35" s="62">
        <v>1.5E-09</v>
      </c>
      <c r="E35" s="62">
        <v>1.5E-09</v>
      </c>
      <c r="G35" s="61">
        <v>-8</v>
      </c>
      <c r="H35" s="62">
        <v>2E-06</v>
      </c>
      <c r="I35" s="62">
        <v>2E-06</v>
      </c>
      <c r="K35" s="18">
        <v>-28</v>
      </c>
      <c r="L35" s="62">
        <v>2E-08</v>
      </c>
      <c r="M35" s="62">
        <v>2E-08</v>
      </c>
      <c r="N35" s="62">
        <v>2E-08</v>
      </c>
    </row>
    <row r="36" spans="1:14" ht="12.75">
      <c r="A36" s="18">
        <v>-20</v>
      </c>
      <c r="B36" s="62">
        <v>1E-08</v>
      </c>
      <c r="C36" s="62">
        <v>1E-08</v>
      </c>
      <c r="D36" s="62">
        <v>1E-08</v>
      </c>
      <c r="E36" s="62">
        <v>1E-08</v>
      </c>
      <c r="G36" s="61">
        <v>10</v>
      </c>
      <c r="H36" s="62">
        <v>1E-05</v>
      </c>
      <c r="I36" s="62">
        <v>1E-05</v>
      </c>
      <c r="K36" s="18">
        <v>-10</v>
      </c>
      <c r="L36" s="62">
        <v>1E-07</v>
      </c>
      <c r="M36" s="62">
        <v>1E-07</v>
      </c>
      <c r="N36" s="62">
        <v>1E-07</v>
      </c>
    </row>
    <row r="37" spans="1:14" ht="12.75">
      <c r="A37" s="18">
        <v>-11</v>
      </c>
      <c r="B37" s="62">
        <v>5E-07</v>
      </c>
      <c r="C37" s="62">
        <v>5E-07</v>
      </c>
      <c r="D37" s="62">
        <v>5E-07</v>
      </c>
      <c r="E37" s="62">
        <v>5E-07</v>
      </c>
      <c r="G37" s="61">
        <v>19</v>
      </c>
      <c r="H37" s="62">
        <v>0.001</v>
      </c>
      <c r="I37" s="62">
        <v>0.001</v>
      </c>
      <c r="K37" s="18">
        <v>-1</v>
      </c>
      <c r="L37" s="62">
        <v>2E-05</v>
      </c>
      <c r="M37" s="62">
        <v>2E-05</v>
      </c>
      <c r="N37" s="62">
        <v>2E-05</v>
      </c>
    </row>
    <row r="38" spans="1:14" ht="12.75">
      <c r="A38" s="18">
        <v>-7</v>
      </c>
      <c r="B38" s="62">
        <v>1E-06</v>
      </c>
      <c r="C38" s="62">
        <v>1E-06</v>
      </c>
      <c r="D38" s="62">
        <v>1E-06</v>
      </c>
      <c r="E38" s="62">
        <v>1E-06</v>
      </c>
      <c r="G38" s="61">
        <v>23</v>
      </c>
      <c r="H38" s="62">
        <v>0.002</v>
      </c>
      <c r="I38" s="62">
        <v>0.002</v>
      </c>
      <c r="K38" s="18">
        <v>3</v>
      </c>
      <c r="L38" s="62">
        <v>3E-05</v>
      </c>
      <c r="M38" s="62">
        <v>3E-05</v>
      </c>
      <c r="N38" s="62">
        <v>3E-05</v>
      </c>
    </row>
    <row r="39" spans="1:14" ht="12.75">
      <c r="A39" s="18">
        <v>10</v>
      </c>
      <c r="B39" s="62">
        <v>5E-06</v>
      </c>
      <c r="C39" s="62">
        <v>5E-06</v>
      </c>
      <c r="D39" s="62">
        <v>5E-06</v>
      </c>
      <c r="E39" s="62">
        <v>5E-06</v>
      </c>
      <c r="G39" s="61">
        <v>44</v>
      </c>
      <c r="H39" s="62">
        <v>0.002</v>
      </c>
      <c r="I39" s="62">
        <v>0.002</v>
      </c>
      <c r="K39" s="18">
        <v>20</v>
      </c>
      <c r="L39" s="62">
        <v>6E-05</v>
      </c>
      <c r="M39" s="62">
        <v>6E-05</v>
      </c>
      <c r="N39" s="62">
        <v>6E-05</v>
      </c>
    </row>
    <row r="40" spans="1:14" ht="12.75">
      <c r="A40" s="18">
        <v>20</v>
      </c>
      <c r="B40" s="62">
        <v>5E-06</v>
      </c>
      <c r="C40" s="62">
        <v>5E-06</v>
      </c>
      <c r="D40" s="62">
        <v>5E-06</v>
      </c>
      <c r="E40" s="62">
        <v>5E-06</v>
      </c>
      <c r="G40" s="61"/>
      <c r="K40" s="18">
        <v>30</v>
      </c>
      <c r="L40" s="62">
        <v>6E-05</v>
      </c>
      <c r="M40" s="62">
        <v>6E-05</v>
      </c>
      <c r="N40" s="62">
        <v>6E-05</v>
      </c>
    </row>
    <row r="41" spans="2:7" ht="12.75">
      <c r="B41" s="62"/>
      <c r="C41" s="62"/>
      <c r="D41" s="62"/>
      <c r="E41" s="62"/>
      <c r="G41" s="61"/>
    </row>
    <row r="42" spans="1:14" ht="12.75">
      <c r="A42" s="26" t="s">
        <v>79</v>
      </c>
      <c r="B42" s="18" t="s">
        <v>30</v>
      </c>
      <c r="C42" s="18" t="s">
        <v>31</v>
      </c>
      <c r="D42" s="18" t="s">
        <v>32</v>
      </c>
      <c r="E42" s="18" t="s">
        <v>33</v>
      </c>
      <c r="G42" s="61"/>
      <c r="H42" s="18" t="s">
        <v>55</v>
      </c>
      <c r="I42" s="18" t="s">
        <v>70</v>
      </c>
      <c r="L42" s="18" t="s">
        <v>68</v>
      </c>
      <c r="M42" s="18" t="s">
        <v>71</v>
      </c>
      <c r="N42" s="18" t="s">
        <v>72</v>
      </c>
    </row>
    <row r="43" spans="1:14" ht="12.75">
      <c r="A43" s="18">
        <v>-60</v>
      </c>
      <c r="B43" s="62">
        <v>1.5E-09</v>
      </c>
      <c r="C43" s="62">
        <v>1.5E-09</v>
      </c>
      <c r="D43" s="62">
        <v>1.5E-09</v>
      </c>
      <c r="E43" s="62">
        <v>2.8E-09</v>
      </c>
      <c r="G43" s="61">
        <v>-30</v>
      </c>
      <c r="H43" s="62">
        <v>1.8E-06</v>
      </c>
      <c r="I43" s="62">
        <v>1.8E-06</v>
      </c>
      <c r="K43" s="18">
        <v>-50</v>
      </c>
      <c r="L43" s="62">
        <v>1.5E-09</v>
      </c>
      <c r="M43" s="62">
        <v>1.5E-09</v>
      </c>
      <c r="N43" s="62">
        <v>1.5E-09</v>
      </c>
    </row>
    <row r="44" spans="1:14" ht="12.75">
      <c r="A44" s="18">
        <v>-38</v>
      </c>
      <c r="B44" s="62">
        <v>2E-09</v>
      </c>
      <c r="C44" s="62">
        <v>2E-09</v>
      </c>
      <c r="D44" s="62">
        <v>2E-09</v>
      </c>
      <c r="E44" s="62">
        <v>3E-09</v>
      </c>
      <c r="G44" s="61">
        <v>-8</v>
      </c>
      <c r="H44" s="62">
        <v>2E-06</v>
      </c>
      <c r="I44" s="62">
        <v>2E-06</v>
      </c>
      <c r="K44" s="18">
        <v>-28</v>
      </c>
      <c r="L44" s="62">
        <v>2E-08</v>
      </c>
      <c r="M44" s="62">
        <v>2E-08</v>
      </c>
      <c r="N44" s="62">
        <v>2E-08</v>
      </c>
    </row>
    <row r="45" spans="1:14" ht="12.75">
      <c r="A45" s="18">
        <v>-20</v>
      </c>
      <c r="B45" s="62">
        <v>1.2E-08</v>
      </c>
      <c r="C45" s="62">
        <v>1.2E-08</v>
      </c>
      <c r="D45" s="62">
        <v>1.2E-08</v>
      </c>
      <c r="E45" s="62">
        <v>1.2E-08</v>
      </c>
      <c r="G45" s="61">
        <v>10</v>
      </c>
      <c r="H45" s="62">
        <v>1.2E-05</v>
      </c>
      <c r="I45" s="62">
        <v>1.2E-05</v>
      </c>
      <c r="K45" s="18">
        <v>-10</v>
      </c>
      <c r="L45" s="62">
        <v>1.2E-07</v>
      </c>
      <c r="M45" s="62">
        <v>1.2E-07</v>
      </c>
      <c r="N45" s="62">
        <v>1.2E-07</v>
      </c>
    </row>
    <row r="46" spans="1:14" ht="12.75">
      <c r="A46" s="18">
        <v>-11</v>
      </c>
      <c r="B46" s="62">
        <v>2E-06</v>
      </c>
      <c r="C46" s="62">
        <v>2E-06</v>
      </c>
      <c r="D46" s="62">
        <v>2E-06</v>
      </c>
      <c r="E46" s="62">
        <v>2E-06</v>
      </c>
      <c r="G46" s="61">
        <v>19</v>
      </c>
      <c r="H46" s="62">
        <v>0.002</v>
      </c>
      <c r="I46" s="62">
        <v>0.002</v>
      </c>
      <c r="K46" s="18">
        <v>-1</v>
      </c>
      <c r="L46" s="62">
        <v>2E-05</v>
      </c>
      <c r="M46" s="62">
        <v>2E-05</v>
      </c>
      <c r="N46" s="62">
        <v>2E-05</v>
      </c>
    </row>
    <row r="47" spans="1:14" ht="12.75">
      <c r="A47" s="18">
        <v>-7</v>
      </c>
      <c r="B47" s="62">
        <v>4E-06</v>
      </c>
      <c r="C47" s="62">
        <v>4E-06</v>
      </c>
      <c r="D47" s="62">
        <v>4E-06</v>
      </c>
      <c r="E47" s="62">
        <v>4E-06</v>
      </c>
      <c r="G47" s="61">
        <v>23</v>
      </c>
      <c r="H47" s="62">
        <v>0.004</v>
      </c>
      <c r="I47" s="62">
        <v>0.004</v>
      </c>
      <c r="K47" s="18">
        <v>3</v>
      </c>
      <c r="L47" s="62">
        <v>4E-05</v>
      </c>
      <c r="M47" s="62">
        <v>4E-05</v>
      </c>
      <c r="N47" s="62">
        <v>4E-05</v>
      </c>
    </row>
    <row r="48" spans="1:14" ht="12.75">
      <c r="A48" s="18">
        <v>10</v>
      </c>
      <c r="B48" s="62">
        <v>6E-06</v>
      </c>
      <c r="C48" s="62">
        <v>6E-06</v>
      </c>
      <c r="D48" s="62">
        <v>6E-06</v>
      </c>
      <c r="E48" s="62">
        <v>6E-06</v>
      </c>
      <c r="G48" s="61">
        <v>44</v>
      </c>
      <c r="H48" s="62">
        <v>0.004</v>
      </c>
      <c r="I48" s="62">
        <v>0.004</v>
      </c>
      <c r="K48" s="18">
        <v>20</v>
      </c>
      <c r="L48" s="62">
        <v>6E-05</v>
      </c>
      <c r="M48" s="62">
        <v>6E-05</v>
      </c>
      <c r="N48" s="62">
        <v>6E-05</v>
      </c>
    </row>
    <row r="49" spans="1:14" ht="12.75">
      <c r="A49" s="18">
        <v>20</v>
      </c>
      <c r="B49" s="62">
        <v>6E-06</v>
      </c>
      <c r="C49" s="62">
        <v>6E-06</v>
      </c>
      <c r="D49" s="62">
        <v>6E-06</v>
      </c>
      <c r="E49" s="62">
        <v>6E-06</v>
      </c>
      <c r="G49" s="61"/>
      <c r="K49" s="18">
        <v>30</v>
      </c>
      <c r="L49" s="62">
        <v>6E-05</v>
      </c>
      <c r="M49" s="62">
        <v>6E-05</v>
      </c>
      <c r="N49" s="62">
        <v>6E-05</v>
      </c>
    </row>
    <row r="50" spans="2:7" ht="12.75">
      <c r="B50" s="62"/>
      <c r="C50" s="62"/>
      <c r="D50" s="62"/>
      <c r="E50" s="62"/>
      <c r="G50" s="61"/>
    </row>
    <row r="51" spans="1:14" ht="12.75">
      <c r="A51" s="26" t="s">
        <v>37</v>
      </c>
      <c r="B51" s="18" t="s">
        <v>30</v>
      </c>
      <c r="C51" s="18" t="s">
        <v>31</v>
      </c>
      <c r="D51" s="18" t="s">
        <v>32</v>
      </c>
      <c r="E51" s="18" t="s">
        <v>33</v>
      </c>
      <c r="G51" s="61"/>
      <c r="H51" s="18" t="s">
        <v>55</v>
      </c>
      <c r="I51" s="18" t="s">
        <v>70</v>
      </c>
      <c r="L51" s="18" t="s">
        <v>68</v>
      </c>
      <c r="M51" s="18" t="s">
        <v>71</v>
      </c>
      <c r="N51" s="18" t="s">
        <v>72</v>
      </c>
    </row>
    <row r="52" spans="1:14" ht="12.75">
      <c r="A52" s="18">
        <v>-60</v>
      </c>
      <c r="B52" s="62">
        <v>2E-10</v>
      </c>
      <c r="C52" s="62">
        <v>2E-10</v>
      </c>
      <c r="D52" s="62">
        <v>2E-10</v>
      </c>
      <c r="E52" s="62">
        <v>2E-10</v>
      </c>
      <c r="G52" s="61">
        <v>-30</v>
      </c>
      <c r="H52" s="62">
        <v>2E-07</v>
      </c>
      <c r="I52" s="62">
        <v>2E-07</v>
      </c>
      <c r="K52" s="18">
        <v>-50</v>
      </c>
      <c r="L52" s="62">
        <v>2E-09</v>
      </c>
      <c r="M52" s="62">
        <v>2E-09</v>
      </c>
      <c r="N52" s="62">
        <v>2E-09</v>
      </c>
    </row>
    <row r="53" spans="1:14" ht="12.75">
      <c r="A53" s="18">
        <v>-38</v>
      </c>
      <c r="B53" s="62">
        <v>4E-10</v>
      </c>
      <c r="C53" s="62">
        <v>4E-10</v>
      </c>
      <c r="D53" s="62">
        <v>4E-10</v>
      </c>
      <c r="E53" s="62">
        <v>4E-10</v>
      </c>
      <c r="G53" s="61">
        <v>-8</v>
      </c>
      <c r="H53" s="62">
        <v>4E-07</v>
      </c>
      <c r="I53" s="62">
        <v>4E-07</v>
      </c>
      <c r="K53" s="18">
        <v>-28</v>
      </c>
      <c r="L53" s="62">
        <v>4E-09</v>
      </c>
      <c r="M53" s="62">
        <v>4E-09</v>
      </c>
      <c r="N53" s="62">
        <v>4E-09</v>
      </c>
    </row>
    <row r="54" spans="1:14" ht="12.75">
      <c r="A54" s="18">
        <v>-20</v>
      </c>
      <c r="B54" s="62">
        <v>1.5E-09</v>
      </c>
      <c r="C54" s="62">
        <v>1.5E-09</v>
      </c>
      <c r="D54" s="62">
        <v>1.5E-09</v>
      </c>
      <c r="E54" s="62">
        <v>1.5E-09</v>
      </c>
      <c r="G54" s="61">
        <v>10</v>
      </c>
      <c r="H54" s="62">
        <v>1.5E-06</v>
      </c>
      <c r="I54" s="62">
        <v>1.5E-06</v>
      </c>
      <c r="K54" s="18">
        <v>-10</v>
      </c>
      <c r="L54" s="62">
        <v>1.5E-08</v>
      </c>
      <c r="M54" s="62">
        <v>1.5E-08</v>
      </c>
      <c r="N54" s="62">
        <v>1.5E-08</v>
      </c>
    </row>
    <row r="55" spans="1:14" ht="12.75">
      <c r="A55" s="18">
        <v>-11</v>
      </c>
      <c r="B55" s="62">
        <v>5E-08</v>
      </c>
      <c r="C55" s="62">
        <v>5E-08</v>
      </c>
      <c r="D55" s="62">
        <v>5E-08</v>
      </c>
      <c r="E55" s="62">
        <v>5E-08</v>
      </c>
      <c r="G55" s="61">
        <v>19</v>
      </c>
      <c r="H55" s="62">
        <v>5E-08</v>
      </c>
      <c r="I55" s="62">
        <v>5E-08</v>
      </c>
      <c r="K55" s="18">
        <v>-1</v>
      </c>
      <c r="L55" s="62">
        <v>5E-07</v>
      </c>
      <c r="M55" s="62">
        <v>5E-07</v>
      </c>
      <c r="N55" s="62">
        <v>5E-07</v>
      </c>
    </row>
    <row r="56" spans="1:14" ht="12.75">
      <c r="A56" s="18">
        <v>-7</v>
      </c>
      <c r="B56" s="62">
        <v>5E-07</v>
      </c>
      <c r="C56" s="62">
        <v>5E-07</v>
      </c>
      <c r="D56" s="62">
        <v>5E-07</v>
      </c>
      <c r="E56" s="62">
        <v>5E-07</v>
      </c>
      <c r="G56" s="61">
        <v>23</v>
      </c>
      <c r="H56" s="62">
        <v>0.0005</v>
      </c>
      <c r="I56" s="62">
        <v>0.0005</v>
      </c>
      <c r="K56" s="18">
        <v>3</v>
      </c>
      <c r="L56" s="62">
        <v>5E-06</v>
      </c>
      <c r="M56" s="62">
        <v>5E-06</v>
      </c>
      <c r="N56" s="62">
        <v>5E-06</v>
      </c>
    </row>
    <row r="57" spans="1:14" ht="12.75">
      <c r="A57" s="18">
        <v>10</v>
      </c>
      <c r="B57" s="62">
        <v>2E-06</v>
      </c>
      <c r="C57" s="62">
        <v>2E-06</v>
      </c>
      <c r="D57" s="62">
        <v>2E-06</v>
      </c>
      <c r="E57" s="62">
        <v>2E-06</v>
      </c>
      <c r="G57" s="61">
        <v>44</v>
      </c>
      <c r="H57" s="62">
        <v>0.0005</v>
      </c>
      <c r="I57" s="62">
        <v>0.0005</v>
      </c>
      <c r="K57" s="18">
        <v>20</v>
      </c>
      <c r="L57" s="62">
        <v>2E-05</v>
      </c>
      <c r="M57" s="62">
        <v>2E-05</v>
      </c>
      <c r="N57" s="62">
        <v>2E-05</v>
      </c>
    </row>
    <row r="58" spans="1:14" ht="12.75">
      <c r="A58" s="18">
        <v>20</v>
      </c>
      <c r="B58" s="62">
        <v>2E-06</v>
      </c>
      <c r="C58" s="62">
        <v>2E-06</v>
      </c>
      <c r="D58" s="62">
        <v>2E-06</v>
      </c>
      <c r="E58" s="62">
        <v>2E-06</v>
      </c>
      <c r="G58" s="61"/>
      <c r="K58" s="18">
        <v>30</v>
      </c>
      <c r="L58" s="62">
        <v>2E-05</v>
      </c>
      <c r="M58" s="62">
        <v>2E-05</v>
      </c>
      <c r="N58" s="62">
        <v>2E-05</v>
      </c>
    </row>
    <row r="59" spans="2:7" ht="12.75">
      <c r="B59" s="62"/>
      <c r="C59" s="62"/>
      <c r="D59" s="62"/>
      <c r="E59" s="62"/>
      <c r="G59" s="61"/>
    </row>
    <row r="60" spans="1:14" ht="12.75">
      <c r="A60" s="26" t="s">
        <v>44</v>
      </c>
      <c r="B60" s="18" t="s">
        <v>30</v>
      </c>
      <c r="C60" s="18" t="s">
        <v>31</v>
      </c>
      <c r="D60" s="18" t="s">
        <v>32</v>
      </c>
      <c r="E60" s="18" t="s">
        <v>33</v>
      </c>
      <c r="G60" s="61"/>
      <c r="H60" s="18" t="s">
        <v>55</v>
      </c>
      <c r="I60" s="18" t="s">
        <v>70</v>
      </c>
      <c r="L60" s="18" t="s">
        <v>68</v>
      </c>
      <c r="M60" s="18" t="s">
        <v>71</v>
      </c>
      <c r="N60" s="18" t="s">
        <v>72</v>
      </c>
    </row>
    <row r="61" spans="1:14" ht="12.75">
      <c r="A61" s="18">
        <v>-60</v>
      </c>
      <c r="B61" s="62">
        <v>1E-09</v>
      </c>
      <c r="C61" s="62">
        <v>1E-09</v>
      </c>
      <c r="D61" s="62">
        <v>1E-09</v>
      </c>
      <c r="E61" s="62">
        <v>1E-09</v>
      </c>
      <c r="G61" s="61">
        <v>-30</v>
      </c>
      <c r="H61" s="62">
        <v>1E-06</v>
      </c>
      <c r="I61" s="62">
        <v>1E-06</v>
      </c>
      <c r="K61" s="18">
        <v>-50</v>
      </c>
      <c r="L61" s="62">
        <v>1E-08</v>
      </c>
      <c r="M61" s="62">
        <v>1E-08</v>
      </c>
      <c r="N61" s="62">
        <v>1E-08</v>
      </c>
    </row>
    <row r="62" spans="1:14" ht="12.75">
      <c r="A62" s="18">
        <v>-38</v>
      </c>
      <c r="B62" s="62">
        <v>1.5E-09</v>
      </c>
      <c r="C62" s="62">
        <v>1.5E-09</v>
      </c>
      <c r="D62" s="62">
        <v>1.5E-09</v>
      </c>
      <c r="E62" s="62">
        <v>1.5E-09</v>
      </c>
      <c r="G62" s="61">
        <v>-8</v>
      </c>
      <c r="H62" s="62">
        <v>1.5E-06</v>
      </c>
      <c r="I62" s="62">
        <v>1.5E-06</v>
      </c>
      <c r="K62" s="18">
        <v>-28</v>
      </c>
      <c r="L62" s="62">
        <v>1.5E-08</v>
      </c>
      <c r="M62" s="62">
        <v>1.5E-08</v>
      </c>
      <c r="N62" s="62">
        <v>1.5E-08</v>
      </c>
    </row>
    <row r="63" spans="1:14" ht="12.75">
      <c r="A63" s="18">
        <v>-20</v>
      </c>
      <c r="B63" s="62">
        <v>1.5E-08</v>
      </c>
      <c r="C63" s="62">
        <v>1.5E-08</v>
      </c>
      <c r="D63" s="62">
        <v>1.5E-08</v>
      </c>
      <c r="E63" s="62">
        <v>1.5E-08</v>
      </c>
      <c r="G63" s="61">
        <v>10</v>
      </c>
      <c r="H63" s="62">
        <v>1.5E-05</v>
      </c>
      <c r="I63" s="62">
        <v>1.5E-05</v>
      </c>
      <c r="K63" s="18">
        <v>-10</v>
      </c>
      <c r="L63" s="62">
        <v>1.5E-07</v>
      </c>
      <c r="M63" s="62">
        <v>1.5E-07</v>
      </c>
      <c r="N63" s="62">
        <v>1.5E-07</v>
      </c>
    </row>
    <row r="64" spans="1:14" ht="12.75">
      <c r="A64" s="18">
        <v>-11</v>
      </c>
      <c r="B64" s="62">
        <v>6.5E-07</v>
      </c>
      <c r="C64" s="62">
        <v>6.5E-07</v>
      </c>
      <c r="D64" s="62">
        <v>6.5E-07</v>
      </c>
      <c r="E64" s="62">
        <v>6.5E-07</v>
      </c>
      <c r="G64" s="61">
        <v>19</v>
      </c>
      <c r="H64" s="62">
        <v>0.00065</v>
      </c>
      <c r="I64" s="62">
        <v>0.00065</v>
      </c>
      <c r="K64" s="18">
        <v>-1</v>
      </c>
      <c r="L64" s="62">
        <v>6.5E-06</v>
      </c>
      <c r="M64" s="62">
        <v>6.5E-06</v>
      </c>
      <c r="N64" s="62">
        <v>6.5E-06</v>
      </c>
    </row>
    <row r="65" spans="1:14" ht="12.75">
      <c r="A65" s="18">
        <v>-7</v>
      </c>
      <c r="B65" s="62">
        <v>1E-06</v>
      </c>
      <c r="C65" s="62">
        <v>1E-06</v>
      </c>
      <c r="D65" s="62">
        <v>1E-06</v>
      </c>
      <c r="E65" s="62">
        <v>1E-06</v>
      </c>
      <c r="G65" s="61">
        <v>23</v>
      </c>
      <c r="H65" s="62">
        <v>0.001</v>
      </c>
      <c r="I65" s="62">
        <v>0.001</v>
      </c>
      <c r="K65" s="18">
        <v>3</v>
      </c>
      <c r="L65" s="62">
        <v>1E-05</v>
      </c>
      <c r="M65" s="62">
        <v>1E-05</v>
      </c>
      <c r="N65" s="62">
        <v>1E-05</v>
      </c>
    </row>
    <row r="66" spans="1:14" ht="12.75">
      <c r="A66" s="18">
        <v>10</v>
      </c>
      <c r="B66" s="62">
        <v>1E-05</v>
      </c>
      <c r="C66" s="62">
        <v>1E-05</v>
      </c>
      <c r="D66" s="62">
        <v>1E-05</v>
      </c>
      <c r="E66" s="62">
        <v>1E-05</v>
      </c>
      <c r="G66" s="61">
        <v>44</v>
      </c>
      <c r="H66" s="62">
        <v>0.001</v>
      </c>
      <c r="I66" s="62">
        <v>0.001</v>
      </c>
      <c r="K66" s="18">
        <v>20</v>
      </c>
      <c r="L66" s="62">
        <v>0.0001</v>
      </c>
      <c r="M66" s="62">
        <v>0.0001</v>
      </c>
      <c r="N66" s="62">
        <v>0.0001</v>
      </c>
    </row>
    <row r="67" spans="1:14" ht="12.75">
      <c r="A67" s="18">
        <v>20</v>
      </c>
      <c r="B67" s="62">
        <v>1E-05</v>
      </c>
      <c r="C67" s="62">
        <v>1E-05</v>
      </c>
      <c r="D67" s="62">
        <v>1E-05</v>
      </c>
      <c r="E67" s="62">
        <v>1E-05</v>
      </c>
      <c r="G67" s="61"/>
      <c r="K67" s="18">
        <v>30</v>
      </c>
      <c r="L67" s="62">
        <v>0.0001</v>
      </c>
      <c r="M67" s="62">
        <v>0.0001</v>
      </c>
      <c r="N67" s="62">
        <v>0.0001</v>
      </c>
    </row>
    <row r="69" spans="1:2" ht="12.75">
      <c r="A69" s="18" t="s">
        <v>50</v>
      </c>
      <c r="B69" s="18" t="s">
        <v>51</v>
      </c>
    </row>
    <row r="71" ht="12.75">
      <c r="A71" s="26" t="s">
        <v>38</v>
      </c>
    </row>
    <row r="72" spans="1:5" ht="12.75">
      <c r="A72" s="63" t="s">
        <v>39</v>
      </c>
      <c r="B72" s="63" t="s">
        <v>50</v>
      </c>
      <c r="C72" s="63"/>
      <c r="D72" s="63" t="s">
        <v>39</v>
      </c>
      <c r="E72" s="63" t="s">
        <v>51</v>
      </c>
    </row>
    <row r="73" spans="1:5" ht="12.75">
      <c r="A73" s="63">
        <v>1</v>
      </c>
      <c r="B73" s="63">
        <v>2</v>
      </c>
      <c r="C73" s="63"/>
      <c r="D73" s="63">
        <v>1</v>
      </c>
      <c r="E73" s="63">
        <v>2.7</v>
      </c>
    </row>
    <row r="74" spans="1:5" ht="12.75">
      <c r="A74" s="63">
        <v>2</v>
      </c>
      <c r="B74" s="63">
        <v>1.8</v>
      </c>
      <c r="C74" s="63"/>
      <c r="D74" s="63">
        <v>2</v>
      </c>
      <c r="E74" s="63">
        <v>2.4</v>
      </c>
    </row>
    <row r="75" spans="1:5" ht="12.75">
      <c r="A75" s="63">
        <v>4</v>
      </c>
      <c r="B75" s="63">
        <v>1.7</v>
      </c>
      <c r="C75" s="63"/>
      <c r="D75" s="63">
        <v>4</v>
      </c>
      <c r="E75" s="63">
        <v>2</v>
      </c>
    </row>
    <row r="76" spans="1:5" ht="12.75">
      <c r="A76" s="63">
        <v>8</v>
      </c>
      <c r="B76" s="63">
        <v>1.5</v>
      </c>
      <c r="C76" s="63"/>
      <c r="D76" s="63">
        <v>8</v>
      </c>
      <c r="E76" s="63">
        <v>1.6</v>
      </c>
    </row>
    <row r="77" spans="1:5" ht="12.75">
      <c r="A77" s="63">
        <v>16</v>
      </c>
      <c r="B77" s="63">
        <v>1</v>
      </c>
      <c r="C77" s="63"/>
      <c r="D77" s="63">
        <v>16</v>
      </c>
      <c r="E77" s="63">
        <v>1</v>
      </c>
    </row>
    <row r="78" spans="1:5" ht="12.75">
      <c r="A78" s="63">
        <v>32</v>
      </c>
      <c r="B78" s="63">
        <v>0.95</v>
      </c>
      <c r="C78" s="63"/>
      <c r="D78" s="63">
        <v>32</v>
      </c>
      <c r="E78" s="63">
        <v>0.91</v>
      </c>
    </row>
    <row r="79" spans="1:5" ht="12.75">
      <c r="A79" s="63">
        <v>64</v>
      </c>
      <c r="B79" s="63">
        <v>0.74</v>
      </c>
      <c r="C79" s="63"/>
      <c r="D79" s="63">
        <v>64</v>
      </c>
      <c r="E79" s="63">
        <v>0.78</v>
      </c>
    </row>
    <row r="80" spans="1:5" ht="12.75">
      <c r="A80" s="63">
        <v>128</v>
      </c>
      <c r="B80" s="63">
        <v>0.55</v>
      </c>
      <c r="C80" s="63"/>
      <c r="D80" s="63">
        <v>128</v>
      </c>
      <c r="E80" s="63">
        <v>0.53</v>
      </c>
    </row>
    <row r="81" spans="1:5" ht="12.75">
      <c r="A81" s="63">
        <v>256</v>
      </c>
      <c r="B81" s="63">
        <v>0.39</v>
      </c>
      <c r="C81" s="63"/>
      <c r="D81" s="63">
        <v>256</v>
      </c>
      <c r="E81" s="63">
        <v>0.34</v>
      </c>
    </row>
    <row r="82" spans="1:5" ht="12.75">
      <c r="A82" s="63">
        <v>512</v>
      </c>
      <c r="B82" s="63">
        <v>0.29</v>
      </c>
      <c r="C82" s="63"/>
      <c r="D82" s="63">
        <v>512</v>
      </c>
      <c r="E82" s="63">
        <v>0.29</v>
      </c>
    </row>
    <row r="83" spans="1:5" ht="12.75">
      <c r="A83" s="63">
        <v>1024</v>
      </c>
      <c r="B83" s="63">
        <v>0.21</v>
      </c>
      <c r="C83" s="63"/>
      <c r="D83" s="63">
        <v>1024</v>
      </c>
      <c r="E83" s="63">
        <v>0.2</v>
      </c>
    </row>
    <row r="91" spans="1:8" ht="12.75">
      <c r="A91" s="26" t="s">
        <v>73</v>
      </c>
      <c r="G91" s="26"/>
      <c r="H91" s="26"/>
    </row>
    <row r="92" spans="1:10" ht="12.75">
      <c r="A92" s="18" t="s">
        <v>0</v>
      </c>
      <c r="B92" s="18" t="s">
        <v>30</v>
      </c>
      <c r="C92" s="18" t="s">
        <v>31</v>
      </c>
      <c r="D92" s="18" t="s">
        <v>32</v>
      </c>
      <c r="E92" s="18" t="s">
        <v>33</v>
      </c>
      <c r="F92" s="18" t="s">
        <v>55</v>
      </c>
      <c r="G92" s="18" t="s">
        <v>68</v>
      </c>
      <c r="H92" s="18" t="s">
        <v>70</v>
      </c>
      <c r="I92" s="18" t="s">
        <v>71</v>
      </c>
      <c r="J92" s="18" t="s">
        <v>72</v>
      </c>
    </row>
    <row r="93" spans="1:12" ht="12.75">
      <c r="A93" s="18">
        <v>9E-06</v>
      </c>
      <c r="B93" s="18" t="s">
        <v>49</v>
      </c>
      <c r="C93" s="18" t="s">
        <v>49</v>
      </c>
      <c r="D93" s="18" t="s">
        <v>49</v>
      </c>
      <c r="E93" s="59">
        <v>0.018</v>
      </c>
      <c r="F93" s="18" t="s">
        <v>49</v>
      </c>
      <c r="G93" s="18" t="s">
        <v>49</v>
      </c>
      <c r="H93" s="18" t="s">
        <v>49</v>
      </c>
      <c r="I93" s="18" t="s">
        <v>49</v>
      </c>
      <c r="J93" s="18" t="s">
        <v>49</v>
      </c>
      <c r="K93" s="18" t="s">
        <v>56</v>
      </c>
      <c r="L93" s="59"/>
    </row>
    <row r="94" spans="1:12" ht="12.75">
      <c r="A94" s="18">
        <v>0.01</v>
      </c>
      <c r="B94" s="59">
        <v>0.018</v>
      </c>
      <c r="C94" s="59">
        <v>0.018</v>
      </c>
      <c r="D94" s="18" t="s">
        <v>49</v>
      </c>
      <c r="E94" s="59">
        <v>0.018</v>
      </c>
      <c r="F94" s="59">
        <v>0.018000000000000002</v>
      </c>
      <c r="G94" s="59">
        <v>0.02</v>
      </c>
      <c r="H94" s="59">
        <v>0.018</v>
      </c>
      <c r="I94" s="59">
        <v>0.02</v>
      </c>
      <c r="J94" s="18" t="s">
        <v>49</v>
      </c>
      <c r="K94" s="59" t="s">
        <v>74</v>
      </c>
      <c r="L94" s="59"/>
    </row>
    <row r="95" spans="1:12" ht="12.75">
      <c r="A95" s="18">
        <v>0.03</v>
      </c>
      <c r="B95" s="59">
        <v>0.016</v>
      </c>
      <c r="C95" s="59">
        <v>0.016</v>
      </c>
      <c r="D95" s="18" t="s">
        <v>49</v>
      </c>
      <c r="E95" s="59">
        <v>0.018</v>
      </c>
      <c r="F95" s="59">
        <v>0.018000000000000002</v>
      </c>
      <c r="G95" s="59">
        <v>0.02</v>
      </c>
      <c r="H95" s="59">
        <v>0.018</v>
      </c>
      <c r="I95" s="59">
        <v>0.02</v>
      </c>
      <c r="J95" s="18" t="s">
        <v>49</v>
      </c>
      <c r="K95" s="59" t="s">
        <v>58</v>
      </c>
      <c r="L95" s="59"/>
    </row>
    <row r="96" spans="1:12" ht="12.75">
      <c r="A96" s="18">
        <v>0.05</v>
      </c>
      <c r="B96" s="59">
        <v>0.016</v>
      </c>
      <c r="C96" s="59">
        <v>0.016</v>
      </c>
      <c r="D96" s="59">
        <v>0.02</v>
      </c>
      <c r="E96" s="59">
        <v>0.018</v>
      </c>
      <c r="F96" s="59">
        <v>0.018000000000000002</v>
      </c>
      <c r="G96" s="59">
        <v>0.02</v>
      </c>
      <c r="H96" s="59">
        <v>0.018</v>
      </c>
      <c r="I96" s="59">
        <v>0.02</v>
      </c>
      <c r="J96" s="59">
        <v>0.025</v>
      </c>
      <c r="K96" s="59" t="s">
        <v>59</v>
      </c>
      <c r="L96" s="59"/>
    </row>
    <row r="97" spans="1:12" ht="12.75">
      <c r="A97" s="18">
        <v>0.5</v>
      </c>
      <c r="B97" s="59">
        <v>0.016</v>
      </c>
      <c r="C97" s="59">
        <v>0.016</v>
      </c>
      <c r="D97" s="59">
        <v>0.02</v>
      </c>
      <c r="E97" s="59">
        <v>0.018</v>
      </c>
      <c r="F97" s="59">
        <v>0.018000000000000002</v>
      </c>
      <c r="G97" s="59">
        <v>0.02</v>
      </c>
      <c r="H97" s="59">
        <v>0.018</v>
      </c>
      <c r="I97" s="59">
        <v>0.02</v>
      </c>
      <c r="J97" s="59">
        <v>0.025</v>
      </c>
      <c r="K97" s="59" t="s">
        <v>77</v>
      </c>
      <c r="L97" s="59"/>
    </row>
    <row r="98" spans="1:12" ht="12.75">
      <c r="A98" s="18">
        <v>1.2</v>
      </c>
      <c r="B98" s="59">
        <v>0.016</v>
      </c>
      <c r="C98" s="59">
        <v>0.016</v>
      </c>
      <c r="D98" s="59">
        <v>0.02</v>
      </c>
      <c r="E98" s="59">
        <v>0.018</v>
      </c>
      <c r="F98" s="59">
        <v>0.018000000000000002</v>
      </c>
      <c r="G98" s="59">
        <v>0.02</v>
      </c>
      <c r="H98" s="59">
        <v>0.018</v>
      </c>
      <c r="I98" s="59">
        <v>0.02</v>
      </c>
      <c r="J98" s="59">
        <v>0.025</v>
      </c>
      <c r="K98" s="59" t="s">
        <v>75</v>
      </c>
      <c r="L98" s="59"/>
    </row>
    <row r="99" spans="1:12" ht="12.75">
      <c r="A99" s="18">
        <v>2</v>
      </c>
      <c r="B99" s="59">
        <v>0.02</v>
      </c>
      <c r="C99" s="59">
        <v>0.02</v>
      </c>
      <c r="D99" s="59">
        <v>0.025</v>
      </c>
      <c r="E99" s="59">
        <v>0.018</v>
      </c>
      <c r="F99" s="59">
        <v>0.02</v>
      </c>
      <c r="G99" s="59">
        <v>0.02</v>
      </c>
      <c r="H99" s="59">
        <v>0.02</v>
      </c>
      <c r="I99" s="59">
        <v>0.02</v>
      </c>
      <c r="J99" s="59">
        <v>0.025</v>
      </c>
      <c r="K99" s="59" t="s">
        <v>60</v>
      </c>
      <c r="L99" s="59"/>
    </row>
    <row r="100" spans="1:12" ht="12.75">
      <c r="A100" s="18">
        <v>6</v>
      </c>
      <c r="B100" s="59">
        <v>0.02</v>
      </c>
      <c r="C100" s="59">
        <v>0.02</v>
      </c>
      <c r="D100" s="59">
        <v>0.025</v>
      </c>
      <c r="E100" s="59">
        <v>0.018</v>
      </c>
      <c r="F100" s="59">
        <v>0.02</v>
      </c>
      <c r="G100" s="59">
        <v>0.02</v>
      </c>
      <c r="H100" s="59">
        <v>0.02</v>
      </c>
      <c r="I100" s="59">
        <v>0.02</v>
      </c>
      <c r="J100" s="59">
        <v>0.025</v>
      </c>
      <c r="K100" s="59" t="s">
        <v>61</v>
      </c>
      <c r="L100" s="59"/>
    </row>
    <row r="101" spans="1:12" ht="12.75">
      <c r="A101" s="18">
        <v>8</v>
      </c>
      <c r="B101" s="59">
        <v>0.02</v>
      </c>
      <c r="C101" s="59">
        <v>0.02</v>
      </c>
      <c r="D101" s="59">
        <v>0.025</v>
      </c>
      <c r="E101" s="59">
        <v>0.018</v>
      </c>
      <c r="F101" s="59">
        <v>0.02</v>
      </c>
      <c r="G101" s="59">
        <v>0.02</v>
      </c>
      <c r="H101" s="59" t="s">
        <v>49</v>
      </c>
      <c r="I101" s="59" t="s">
        <v>49</v>
      </c>
      <c r="J101" s="59">
        <v>0.025</v>
      </c>
      <c r="K101" s="59" t="s">
        <v>69</v>
      </c>
      <c r="L101" s="59"/>
    </row>
    <row r="102" spans="1:12" ht="12.75">
      <c r="A102" s="18">
        <v>12.4</v>
      </c>
      <c r="B102" s="59">
        <v>0.02</v>
      </c>
      <c r="C102" s="59">
        <v>0.02</v>
      </c>
      <c r="D102" s="59">
        <v>0.025</v>
      </c>
      <c r="E102" s="59">
        <v>0.018</v>
      </c>
      <c r="F102" s="59">
        <v>0.022</v>
      </c>
      <c r="G102" s="59">
        <v>0.022000000000000002</v>
      </c>
      <c r="H102" s="59" t="s">
        <v>49</v>
      </c>
      <c r="I102" s="59" t="s">
        <v>49</v>
      </c>
      <c r="J102" s="59">
        <v>0.027</v>
      </c>
      <c r="K102" s="59" t="s">
        <v>67</v>
      </c>
      <c r="L102" s="59"/>
    </row>
    <row r="103" spans="1:11" ht="12.75">
      <c r="A103" s="18">
        <v>14</v>
      </c>
      <c r="B103" s="59">
        <v>0.022</v>
      </c>
      <c r="C103" s="18" t="s">
        <v>49</v>
      </c>
      <c r="D103" s="59">
        <v>0.027</v>
      </c>
      <c r="E103" s="18" t="s">
        <v>49</v>
      </c>
      <c r="F103" s="59">
        <v>0.022</v>
      </c>
      <c r="G103" s="59">
        <v>0.022000000000000002</v>
      </c>
      <c r="H103" s="59" t="s">
        <v>49</v>
      </c>
      <c r="I103" s="59" t="s">
        <v>49</v>
      </c>
      <c r="J103" s="59">
        <v>0.027</v>
      </c>
      <c r="K103" s="59" t="s">
        <v>76</v>
      </c>
    </row>
    <row r="104" spans="1:11" ht="12.75">
      <c r="A104" s="18">
        <v>16</v>
      </c>
      <c r="B104" s="59">
        <v>0.022</v>
      </c>
      <c r="C104" s="18" t="s">
        <v>49</v>
      </c>
      <c r="D104" s="59">
        <v>0.027</v>
      </c>
      <c r="E104" s="18" t="s">
        <v>49</v>
      </c>
      <c r="F104" s="59">
        <v>0.022</v>
      </c>
      <c r="G104" s="59">
        <v>0.022000000000000002</v>
      </c>
      <c r="H104" s="59" t="s">
        <v>49</v>
      </c>
      <c r="I104" s="59" t="s">
        <v>49</v>
      </c>
      <c r="J104" s="59">
        <v>0.027</v>
      </c>
      <c r="K104" s="59" t="s">
        <v>63</v>
      </c>
    </row>
    <row r="105" spans="1:11" ht="12.75">
      <c r="A105" s="18">
        <v>18</v>
      </c>
      <c r="B105" s="59">
        <v>0.022</v>
      </c>
      <c r="C105" s="18" t="s">
        <v>49</v>
      </c>
      <c r="D105" s="59">
        <v>0.03</v>
      </c>
      <c r="E105" s="18" t="s">
        <v>49</v>
      </c>
      <c r="F105" s="59">
        <v>0.022</v>
      </c>
      <c r="G105" s="59">
        <v>0.022000000000000002</v>
      </c>
      <c r="H105" s="59" t="s">
        <v>49</v>
      </c>
      <c r="I105" s="59" t="s">
        <v>49</v>
      </c>
      <c r="J105" s="59">
        <v>0.03</v>
      </c>
      <c r="K105" s="59" t="s">
        <v>64</v>
      </c>
    </row>
    <row r="106" spans="1:11" ht="12.75">
      <c r="A106" s="18">
        <v>24</v>
      </c>
      <c r="B106" s="18" t="s">
        <v>49</v>
      </c>
      <c r="C106" s="18" t="s">
        <v>49</v>
      </c>
      <c r="D106" s="59">
        <v>0.03</v>
      </c>
      <c r="E106" s="18" t="s">
        <v>49</v>
      </c>
      <c r="F106" s="18" t="s">
        <v>49</v>
      </c>
      <c r="G106" s="18" t="s">
        <v>49</v>
      </c>
      <c r="H106" s="59" t="s">
        <v>49</v>
      </c>
      <c r="I106" s="59" t="s">
        <v>49</v>
      </c>
      <c r="J106" s="59">
        <v>0.03</v>
      </c>
      <c r="K106" s="59" t="s">
        <v>66</v>
      </c>
    </row>
    <row r="109" spans="1:3" ht="12.75">
      <c r="A109" s="18" t="s">
        <v>40</v>
      </c>
      <c r="B109" s="64">
        <f>(calculator!B4-1)/(calculator!B4+1)</f>
        <v>0.04761904761904766</v>
      </c>
      <c r="C109" s="65"/>
    </row>
    <row r="110" spans="1:3" ht="12.75">
      <c r="A110" s="18" t="s">
        <v>45</v>
      </c>
      <c r="B110" s="64">
        <f>(C110-1)/(C110+1)</f>
        <v>0.06103286384976521</v>
      </c>
      <c r="C110" s="18">
        <f>INDEX(A5:J18,MATCH(calculator!B6,A5:A18,1),MATCH(calculator!B5,A5:J5,0))</f>
        <v>1.13</v>
      </c>
    </row>
    <row r="111" spans="1:2" ht="12.75">
      <c r="A111" s="18" t="s">
        <v>46</v>
      </c>
      <c r="B111" s="18">
        <f>IF(calculator!B9="Normal",VLOOKUP(calculator!B8,Data!A73:B83,2,TRUE),VLOOKUP(calculator!B8,Data!D73:E83,2,TRUE))</f>
        <v>1</v>
      </c>
    </row>
    <row r="114" spans="1:2" ht="12.75">
      <c r="A114" s="18" t="s">
        <v>16</v>
      </c>
      <c r="B114" s="66">
        <f>3^0.5</f>
        <v>1.7320508075688772</v>
      </c>
    </row>
    <row r="115" spans="1:2" ht="12.75">
      <c r="A115" s="18" t="s">
        <v>19</v>
      </c>
      <c r="B115" s="18">
        <v>2</v>
      </c>
    </row>
    <row r="116" spans="1:2" ht="12.75">
      <c r="A116" s="18" t="s">
        <v>47</v>
      </c>
      <c r="B116" s="66">
        <f>2^0.5</f>
        <v>1.4142135623730951</v>
      </c>
    </row>
    <row r="120" spans="1:5" ht="12.75">
      <c r="A120" s="18" t="s">
        <v>30</v>
      </c>
      <c r="B120" s="18" t="str">
        <f>IF(OR(calculator!B6&gt;18,calculator!B6&lt;0.01),"Invalid input!"," ")</f>
        <v> </v>
      </c>
      <c r="D120" s="18" t="s">
        <v>30</v>
      </c>
      <c r="E120" s="18" t="str">
        <f>IF(OR(calculator!B7&gt;20,calculator!B7&lt;-60),"Invalid input!"," ")</f>
        <v> </v>
      </c>
    </row>
    <row r="121" spans="1:5" ht="12.75">
      <c r="A121" s="18" t="s">
        <v>31</v>
      </c>
      <c r="B121" s="18" t="str">
        <f>IF(OR(calculator!B6&gt;6,calculator!B6&lt;0.01),"Invalid input!"," ")</f>
        <v> </v>
      </c>
      <c r="D121" s="18" t="s">
        <v>31</v>
      </c>
      <c r="E121" s="18" t="str">
        <f>IF(OR(calculator!B7&gt;20,calculator!B7&lt;-60),"Invalid input!"," ")</f>
        <v> </v>
      </c>
    </row>
    <row r="122" spans="1:5" ht="12.75">
      <c r="A122" s="18" t="s">
        <v>32</v>
      </c>
      <c r="B122" s="18" t="str">
        <f>IF(OR(calculator!B6&gt;24,calculator!B6&lt;0.05),"Invalid input!"," ")</f>
        <v> </v>
      </c>
      <c r="D122" s="18" t="s">
        <v>32</v>
      </c>
      <c r="E122" s="18" t="str">
        <f>IF(OR(calculator!B7&gt;20,calculator!B7&lt;-60),"Invalid input!"," ")</f>
        <v> </v>
      </c>
    </row>
    <row r="123" spans="1:5" ht="12.75">
      <c r="A123" s="18" t="s">
        <v>33</v>
      </c>
      <c r="B123" s="18" t="str">
        <f>IF(OR(calculator!B6&gt;6,calculator!B6&lt;0.000009),"Invalid input!"," ")</f>
        <v> </v>
      </c>
      <c r="D123" s="18" t="s">
        <v>33</v>
      </c>
      <c r="E123" s="18" t="str">
        <f>IF(OR(calculator!B7&gt;20,calculator!B7&lt;-60),"Invalid input!"," ")</f>
        <v> </v>
      </c>
    </row>
    <row r="124" spans="1:5" ht="12.75">
      <c r="A124" s="18" t="s">
        <v>55</v>
      </c>
      <c r="B124" s="18" t="str">
        <f>IF(OR(calculator!B6&gt;18,calculator!B6&lt;0.01),"Invalid input!"," ")</f>
        <v> </v>
      </c>
      <c r="D124" s="18" t="s">
        <v>55</v>
      </c>
      <c r="E124" s="18" t="str">
        <f>IF(OR(calculator!B7&gt;44,calculator!B7&lt;-30),"Invalid input!"," ")</f>
        <v> </v>
      </c>
    </row>
    <row r="125" spans="1:5" ht="12.75">
      <c r="A125" s="18" t="s">
        <v>68</v>
      </c>
      <c r="B125" s="18" t="str">
        <f>IF(OR(calculator!B6&gt;18,calculator!B6&lt;0.01),"Invalid input!"," ")</f>
        <v> </v>
      </c>
      <c r="D125" s="18" t="s">
        <v>68</v>
      </c>
      <c r="E125" s="18" t="str">
        <f>IF(OR(calculator!B7&gt;30,calculator!B7&lt;-50),"Invalid input!"," ")</f>
        <v> </v>
      </c>
    </row>
    <row r="126" spans="1:5" ht="12.75">
      <c r="A126" s="18" t="s">
        <v>70</v>
      </c>
      <c r="B126" s="18" t="str">
        <f>IF(OR(calculator!B6&gt;6,calculator!B6&lt;0.01),"Invalid input!"," ")</f>
        <v> </v>
      </c>
      <c r="D126" s="18" t="s">
        <v>70</v>
      </c>
      <c r="E126" s="18" t="str">
        <f>IF(OR(calculator!B7&gt;44,calculator!B7&lt;-30),"Invalid input!"," ")</f>
        <v> </v>
      </c>
    </row>
    <row r="127" spans="1:7" ht="12.75">
      <c r="A127" s="18" t="s">
        <v>71</v>
      </c>
      <c r="B127" s="18" t="str">
        <f>IF(OR(calculator!B6&gt;6,calculator!B6&lt;0.01),"Invalid input!"," ")</f>
        <v> </v>
      </c>
      <c r="D127" s="18" t="s">
        <v>71</v>
      </c>
      <c r="E127" s="18" t="str">
        <f>IF(OR(calculator!B7&gt;30,calculator!B7&lt;-50),"Invalid input!"," ")</f>
        <v> </v>
      </c>
      <c r="G127" s="67" t="s">
        <v>92</v>
      </c>
    </row>
    <row r="128" spans="1:7" ht="12.75">
      <c r="A128" s="18" t="s">
        <v>72</v>
      </c>
      <c r="B128" s="18" t="str">
        <f>IF(OR(calculator!B6&gt;24,calculator!B6&lt;0.05),"Invalid input!"," ")</f>
        <v> </v>
      </c>
      <c r="D128" s="18" t="s">
        <v>72</v>
      </c>
      <c r="E128" s="18" t="str">
        <f>IF(OR(calculator!B7&gt;30,calculator!B7&lt;-50),"Invalid input!"," ")</f>
        <v> </v>
      </c>
      <c r="G128" s="67" t="s">
        <v>93</v>
      </c>
    </row>
    <row r="131" spans="1:7" ht="12.75">
      <c r="A131" s="26" t="s">
        <v>36</v>
      </c>
      <c r="B131" s="26" t="s">
        <v>92</v>
      </c>
      <c r="C131" s="26" t="s">
        <v>93</v>
      </c>
      <c r="G131" s="26" t="s">
        <v>37</v>
      </c>
    </row>
    <row r="132" spans="1:8" ht="12.75">
      <c r="A132" s="18" t="s">
        <v>81</v>
      </c>
      <c r="B132" s="37">
        <f>IF(OR((calculator!B5="U2000A"),(calculator!B5="U2001A"),(calculator!B5="U2002A"),calculator!B5=("U2004A")),INDEX(Data!A33:E40,MATCH(calculator!B7,Data!A33:A40,1),MATCH(calculator!B5,Data!A33:E33,0)),(IF(OR((calculator!B5="U2000B"),(calculator!B5="U2001B")),INDEX(Data!G33:I39,MATCH(calculator!B7,Data!G33:G39,1),MATCH(calculator!B5,Data!G33:I33,0)),(INDEX(Data!K33:N40,MATCH(calculator!B7,K33:K40,1),MATCH(calculator!B5,K33:N33,0))))))</f>
        <v>5E-06</v>
      </c>
      <c r="C132" s="68">
        <f>IF(OR((calculator!B5="U2000A"),(calculator!B5="U2001A"),(calculator!B5="U2002A"),calculator!B5=("U2004A")),INDEX(A144:E151,MATCH(calculator!B7,A144:A151,1),MATCH(calculator!B5,A144:E144,0)),(IF(OR((calculator!B5="U2000B"),(calculator!B5="U2001B")),INDEX(G144:I150,MATCH(calculator!B7,G144:G150,1),MATCH(calculator!B5,G144:I144,0)),(INDEX(K144:N151,MATCH(calculator!B7,K144:K151,1),MATCH(calculator!B5,K144:N144,0))))))</f>
        <v>0.0002</v>
      </c>
      <c r="G132" s="69" t="s">
        <v>92</v>
      </c>
      <c r="H132" s="68">
        <f>IF(OR((calculator!B5="U2000A"),(calculator!B5="U2001A"),(calculator!B5="U2002A"),calculator!B5=("U2004A")),INDEX(Data!A51:E58,MATCH(calculator!B7,Data!A51:A58,1),MATCH(calculator!B5,Data!A51:E51,0)),(IF(OR((calculator!B5="U2000B"),(calculator!B5="U2001B")),INDEX(Data!G51:I57,MATCH(calculator!B7,Data!G51:G57,1),MATCH(calculator!B5,Data!G51:I51,0)),(INDEX(Data!K51:N58,MATCH(calculator!B7,Data!K51:K58,1),MATCH(calculator!B5,Data!K51:N51,0))))))</f>
        <v>2E-06</v>
      </c>
    </row>
    <row r="133" spans="1:8" ht="12.75">
      <c r="A133" s="18" t="s">
        <v>80</v>
      </c>
      <c r="B133" s="37">
        <f>IF(OR((calculator!B5="U2000A"),(calculator!B5="U2001A"),(calculator!B5="U2002A"),calculator!B5=("U2004A")),INDEX(A42:E49,MATCH(calculator!B7,A42:A49,1),MATCH(calculator!B5,A42:E42,0)),(IF(OR((calculator!B5="U2000B"),(calculator!B5="U2001B")),INDEX(G42:I48,MATCH(calculator!B7,G42:G48,1),MATCH(calculator!B5,G42:I42,0)),(INDEX(K42:N49,MATCH(calculator!B7,K42:K49,1),MATCH(calculator!B5,K42:N42,0))))))</f>
        <v>6E-06</v>
      </c>
      <c r="C133" s="68">
        <f>IF(OR((calculator!B5="U2000A"),(calculator!B5="U2001A"),(calculator!B5="U2002A"),calculator!B5=("U2004A")),INDEX(A155:E162,MATCH(calculator!B7,A155:A162,1),MATCH(calculator!B5,A155:E155,0)),(IF(OR((calculator!B5="U2000B"),(calculator!B5="U2001B")),INDEX(G155:I161,MATCH(calculator!B7,G155:G161,1),MATCH(calculator!B5,G155:I155,0)),(INDEX(K155:N162,MATCH(calculator!B7,K155:K162,1),MATCH(calculator!B5,K155:N155,0))))))</f>
        <v>0.00027</v>
      </c>
      <c r="G133" s="69" t="s">
        <v>93</v>
      </c>
      <c r="H133" s="68">
        <f>IF(OR((calculator!B5="U2000A"),(calculator!B5="U2001A"),(calculator!B5="U2002A"),calculator!B5=("U2004A")),INDEX(A165:E172,MATCH(calculator!B7,A165:A172,1),MATCH(calculator!B5,A165:E165,0)),(IF(OR((calculator!B5="U2000B"),(calculator!B5="U2001B")),INDEX(G165:I171,MATCH(calculator!B7,G165:G171,1),MATCH(calculator!B5,G165:I165,0)),(INDEX(K165:N172,MATCH(calculator!B7,K165:K172,1),MATCH(calculator!B5,K165:N165,0))))))</f>
        <v>0.00011</v>
      </c>
    </row>
    <row r="136" ht="12.75">
      <c r="A136" s="70" t="s">
        <v>99</v>
      </c>
    </row>
    <row r="138" ht="12.75">
      <c r="A138" s="26" t="s">
        <v>35</v>
      </c>
    </row>
    <row r="139" spans="2:10" ht="12.75">
      <c r="B139" s="18" t="s">
        <v>30</v>
      </c>
      <c r="C139" s="18" t="s">
        <v>31</v>
      </c>
      <c r="D139" s="18" t="s">
        <v>32</v>
      </c>
      <c r="E139" s="18" t="s">
        <v>33</v>
      </c>
      <c r="F139" s="18" t="s">
        <v>55</v>
      </c>
      <c r="G139" s="18" t="s">
        <v>68</v>
      </c>
      <c r="H139" s="18" t="s">
        <v>70</v>
      </c>
      <c r="I139" s="18" t="s">
        <v>71</v>
      </c>
      <c r="J139" s="18" t="s">
        <v>72</v>
      </c>
    </row>
    <row r="140" spans="2:10" ht="12.75">
      <c r="B140" s="58">
        <v>0.04</v>
      </c>
      <c r="C140" s="58">
        <v>0.04</v>
      </c>
      <c r="D140" s="58">
        <v>0.04</v>
      </c>
      <c r="E140" s="71" t="s">
        <v>49</v>
      </c>
      <c r="F140" s="59">
        <v>0.045</v>
      </c>
      <c r="G140" s="58">
        <v>0.05</v>
      </c>
      <c r="H140" s="59">
        <v>0.045</v>
      </c>
      <c r="I140" s="58">
        <v>0.05</v>
      </c>
      <c r="J140" s="58">
        <v>0.05</v>
      </c>
    </row>
    <row r="143" spans="1:7" ht="12.75">
      <c r="A143" s="26" t="s">
        <v>78</v>
      </c>
      <c r="B143" s="72" t="s">
        <v>83</v>
      </c>
      <c r="G143" s="61"/>
    </row>
    <row r="144" spans="2:14" ht="12.75">
      <c r="B144" s="18" t="s">
        <v>30</v>
      </c>
      <c r="C144" s="18" t="s">
        <v>31</v>
      </c>
      <c r="D144" s="18" t="s">
        <v>32</v>
      </c>
      <c r="E144" s="18" t="s">
        <v>33</v>
      </c>
      <c r="G144" s="61"/>
      <c r="H144" s="18" t="s">
        <v>55</v>
      </c>
      <c r="I144" s="18" t="s">
        <v>70</v>
      </c>
      <c r="L144" s="18" t="s">
        <v>68</v>
      </c>
      <c r="M144" s="18" t="s">
        <v>71</v>
      </c>
      <c r="N144" s="18" t="s">
        <v>72</v>
      </c>
    </row>
    <row r="145" spans="1:15" ht="12.75">
      <c r="A145" s="18">
        <v>-60</v>
      </c>
      <c r="B145" s="73" t="s">
        <v>49</v>
      </c>
      <c r="C145" s="73" t="s">
        <v>49</v>
      </c>
      <c r="D145" s="73" t="s">
        <v>49</v>
      </c>
      <c r="E145" s="73" t="s">
        <v>49</v>
      </c>
      <c r="G145" s="61">
        <v>-30</v>
      </c>
      <c r="H145" s="73" t="s">
        <v>49</v>
      </c>
      <c r="I145" s="73" t="s">
        <v>49</v>
      </c>
      <c r="K145" s="18">
        <v>-50</v>
      </c>
      <c r="L145" s="73" t="s">
        <v>49</v>
      </c>
      <c r="M145" s="73" t="s">
        <v>49</v>
      </c>
      <c r="N145" s="73" t="s">
        <v>49</v>
      </c>
      <c r="O145" s="73"/>
    </row>
    <row r="146" spans="1:14" ht="12.75">
      <c r="A146" s="18">
        <v>-38</v>
      </c>
      <c r="B146" s="62">
        <v>4.3E-08</v>
      </c>
      <c r="C146" s="62">
        <v>4.3E-08</v>
      </c>
      <c r="D146" s="62">
        <v>4.3E-08</v>
      </c>
      <c r="E146" s="73" t="s">
        <v>49</v>
      </c>
      <c r="G146" s="61">
        <v>-8</v>
      </c>
      <c r="H146" s="62">
        <v>4.3E-05</v>
      </c>
      <c r="I146" s="62">
        <v>4.3E-05</v>
      </c>
      <c r="K146" s="18">
        <v>-28</v>
      </c>
      <c r="L146" s="62">
        <v>5E-07</v>
      </c>
      <c r="M146" s="62">
        <v>5E-07</v>
      </c>
      <c r="N146" s="62">
        <v>5E-07</v>
      </c>
    </row>
    <row r="147" spans="1:14" ht="12.75">
      <c r="A147" s="18">
        <v>-20</v>
      </c>
      <c r="B147" s="62">
        <v>4.8E-07</v>
      </c>
      <c r="C147" s="62">
        <v>4.8E-07</v>
      </c>
      <c r="D147" s="62">
        <v>4.8E-07</v>
      </c>
      <c r="E147" s="74" t="s">
        <v>49</v>
      </c>
      <c r="G147" s="61">
        <v>10</v>
      </c>
      <c r="H147" s="62">
        <v>0.00048</v>
      </c>
      <c r="I147" s="62">
        <v>0.00048</v>
      </c>
      <c r="K147" s="18">
        <v>-10</v>
      </c>
      <c r="L147" s="62">
        <v>4.8E-06</v>
      </c>
      <c r="M147" s="62">
        <v>4.8E-06</v>
      </c>
      <c r="N147" s="62">
        <v>4.8E-06</v>
      </c>
    </row>
    <row r="148" spans="1:14" ht="12.75">
      <c r="A148" s="75">
        <v>-11</v>
      </c>
      <c r="B148" s="62">
        <v>2.7E-05</v>
      </c>
      <c r="C148" s="62">
        <v>2.7E-05</v>
      </c>
      <c r="D148" s="62">
        <v>2.7E-05</v>
      </c>
      <c r="E148" s="73" t="s">
        <v>49</v>
      </c>
      <c r="G148" s="61">
        <v>19</v>
      </c>
      <c r="H148" s="62">
        <v>0.027</v>
      </c>
      <c r="I148" s="62">
        <v>0.027</v>
      </c>
      <c r="K148" s="18">
        <v>-1</v>
      </c>
      <c r="L148" s="62">
        <v>0.00027</v>
      </c>
      <c r="M148" s="62">
        <v>0.00027</v>
      </c>
      <c r="N148" s="62">
        <v>0.00027</v>
      </c>
    </row>
    <row r="149" spans="1:14" ht="12.75">
      <c r="A149" s="75">
        <v>-7</v>
      </c>
      <c r="B149" s="62">
        <v>3E-05</v>
      </c>
      <c r="C149" s="62">
        <v>3E-05</v>
      </c>
      <c r="D149" s="62">
        <v>3E-05</v>
      </c>
      <c r="E149" s="73" t="s">
        <v>49</v>
      </c>
      <c r="G149" s="61">
        <v>23</v>
      </c>
      <c r="H149" s="62">
        <v>0.034</v>
      </c>
      <c r="I149" s="62">
        <v>0.034</v>
      </c>
      <c r="K149" s="18">
        <v>3</v>
      </c>
      <c r="L149" s="62">
        <v>0.0003</v>
      </c>
      <c r="M149" s="62">
        <v>0.0003</v>
      </c>
      <c r="N149" s="62">
        <v>0.0003</v>
      </c>
    </row>
    <row r="150" spans="1:14" ht="12.75">
      <c r="A150" s="75">
        <v>10</v>
      </c>
      <c r="B150" s="62">
        <v>0.0002</v>
      </c>
      <c r="C150" s="62">
        <v>0.0002</v>
      </c>
      <c r="D150" s="62">
        <v>0.0002</v>
      </c>
      <c r="E150" s="73" t="s">
        <v>49</v>
      </c>
      <c r="G150" s="61">
        <v>44</v>
      </c>
      <c r="H150" s="62">
        <v>0.034</v>
      </c>
      <c r="I150" s="62">
        <v>0.034</v>
      </c>
      <c r="K150" s="18">
        <v>20</v>
      </c>
      <c r="L150" s="62">
        <v>0.0028</v>
      </c>
      <c r="M150" s="62">
        <v>0.0028</v>
      </c>
      <c r="N150" s="62">
        <v>0.0028</v>
      </c>
    </row>
    <row r="151" spans="1:14" ht="12.75">
      <c r="A151" s="75">
        <v>20</v>
      </c>
      <c r="B151" s="62">
        <v>0.0002</v>
      </c>
      <c r="C151" s="62">
        <v>0.0002</v>
      </c>
      <c r="D151" s="62">
        <v>0.0002</v>
      </c>
      <c r="E151" s="73" t="s">
        <v>49</v>
      </c>
      <c r="G151" s="61"/>
      <c r="K151" s="18">
        <v>30</v>
      </c>
      <c r="L151" s="62">
        <v>0.0028</v>
      </c>
      <c r="M151" s="62">
        <v>0.0028</v>
      </c>
      <c r="N151" s="62">
        <v>0.0028</v>
      </c>
    </row>
    <row r="152" ht="12.75">
      <c r="A152" s="75"/>
    </row>
    <row r="153" ht="12.75">
      <c r="A153" s="75"/>
    </row>
    <row r="154" spans="1:7" ht="12.75">
      <c r="A154" s="76" t="s">
        <v>79</v>
      </c>
      <c r="B154" s="72" t="s">
        <v>83</v>
      </c>
      <c r="G154" s="61"/>
    </row>
    <row r="155" spans="1:14" ht="12.75">
      <c r="A155" s="75"/>
      <c r="B155" s="18" t="s">
        <v>30</v>
      </c>
      <c r="C155" s="18" t="s">
        <v>31</v>
      </c>
      <c r="D155" s="18" t="s">
        <v>32</v>
      </c>
      <c r="E155" s="18" t="s">
        <v>33</v>
      </c>
      <c r="G155" s="61"/>
      <c r="H155" s="18" t="s">
        <v>55</v>
      </c>
      <c r="I155" s="18" t="s">
        <v>70</v>
      </c>
      <c r="L155" s="18" t="s">
        <v>68</v>
      </c>
      <c r="M155" s="18" t="s">
        <v>71</v>
      </c>
      <c r="N155" s="18" t="s">
        <v>72</v>
      </c>
    </row>
    <row r="156" spans="1:14" ht="12.75">
      <c r="A156" s="75">
        <v>-60</v>
      </c>
      <c r="B156" s="73" t="s">
        <v>49</v>
      </c>
      <c r="C156" s="73" t="s">
        <v>49</v>
      </c>
      <c r="D156" s="73" t="s">
        <v>49</v>
      </c>
      <c r="E156" s="73" t="s">
        <v>49</v>
      </c>
      <c r="G156" s="61">
        <f>A156+30</f>
        <v>-30</v>
      </c>
      <c r="H156" s="73" t="s">
        <v>49</v>
      </c>
      <c r="I156" s="73" t="s">
        <v>49</v>
      </c>
      <c r="K156" s="18">
        <v>-50</v>
      </c>
      <c r="L156" s="73" t="s">
        <v>49</v>
      </c>
      <c r="M156" s="73" t="s">
        <v>49</v>
      </c>
      <c r="N156" s="73" t="s">
        <v>49</v>
      </c>
    </row>
    <row r="157" spans="1:14" ht="12.75">
      <c r="A157" s="75">
        <v>-38</v>
      </c>
      <c r="B157" s="62">
        <v>4.7E-08</v>
      </c>
      <c r="C157" s="62">
        <v>4.7E-08</v>
      </c>
      <c r="D157" s="62">
        <v>4.7E-08</v>
      </c>
      <c r="E157" s="73" t="s">
        <v>49</v>
      </c>
      <c r="G157" s="61">
        <v>-8</v>
      </c>
      <c r="H157" s="62">
        <v>4.7E-05</v>
      </c>
      <c r="I157" s="62">
        <v>4.7E-05</v>
      </c>
      <c r="K157" s="18">
        <v>-28</v>
      </c>
      <c r="L157" s="62">
        <v>7.3E-07</v>
      </c>
      <c r="M157" s="62">
        <v>7.3E-07</v>
      </c>
      <c r="N157" s="62">
        <v>7.3E-07</v>
      </c>
    </row>
    <row r="158" spans="1:14" ht="12.75">
      <c r="A158" s="75">
        <v>-20</v>
      </c>
      <c r="B158" s="62">
        <v>5.3E-07</v>
      </c>
      <c r="C158" s="62">
        <v>5.3E-07</v>
      </c>
      <c r="D158" s="62">
        <v>5.3E-07</v>
      </c>
      <c r="E158" s="74" t="s">
        <v>49</v>
      </c>
      <c r="G158" s="61">
        <v>10</v>
      </c>
      <c r="H158" s="62">
        <v>0.00053</v>
      </c>
      <c r="I158" s="62">
        <v>0.00053</v>
      </c>
      <c r="K158" s="18">
        <v>-10</v>
      </c>
      <c r="L158" s="62">
        <v>5.3E-06</v>
      </c>
      <c r="M158" s="62">
        <v>5.3E-06</v>
      </c>
      <c r="N158" s="62">
        <v>5.3E-06</v>
      </c>
    </row>
    <row r="159" spans="1:14" ht="12.75">
      <c r="A159" s="75">
        <v>-11</v>
      </c>
      <c r="B159" s="62">
        <v>3E-05</v>
      </c>
      <c r="C159" s="62">
        <v>3E-05</v>
      </c>
      <c r="D159" s="62">
        <v>3E-05</v>
      </c>
      <c r="E159" s="73" t="s">
        <v>49</v>
      </c>
      <c r="G159" s="61">
        <v>19</v>
      </c>
      <c r="H159" s="62">
        <v>0.03</v>
      </c>
      <c r="I159" s="62">
        <v>0.03</v>
      </c>
      <c r="K159" s="18">
        <v>-1</v>
      </c>
      <c r="L159" s="62">
        <v>0.00033</v>
      </c>
      <c r="M159" s="62">
        <v>0.00033</v>
      </c>
      <c r="N159" s="62">
        <v>0.00033</v>
      </c>
    </row>
    <row r="160" spans="1:14" ht="12.75">
      <c r="A160" s="75">
        <v>-7</v>
      </c>
      <c r="B160" s="62">
        <v>3.2E-05</v>
      </c>
      <c r="C160" s="62">
        <v>3.2E-05</v>
      </c>
      <c r="D160" s="62">
        <v>3.2E-05</v>
      </c>
      <c r="E160" s="73" t="s">
        <v>49</v>
      </c>
      <c r="G160" s="61">
        <v>23</v>
      </c>
      <c r="H160" s="62">
        <v>0.032</v>
      </c>
      <c r="I160" s="62">
        <v>0.032</v>
      </c>
      <c r="K160" s="18">
        <v>3</v>
      </c>
      <c r="L160" s="62">
        <v>0.00044</v>
      </c>
      <c r="M160" s="62">
        <v>0.00044</v>
      </c>
      <c r="N160" s="62">
        <v>0.00044</v>
      </c>
    </row>
    <row r="161" spans="1:14" ht="12.75">
      <c r="A161" s="75">
        <v>10</v>
      </c>
      <c r="B161" s="62">
        <v>0.00027</v>
      </c>
      <c r="C161" s="62">
        <v>0.00027</v>
      </c>
      <c r="D161" s="62">
        <v>0.00027</v>
      </c>
      <c r="E161" s="73" t="s">
        <v>49</v>
      </c>
      <c r="G161" s="61">
        <v>44</v>
      </c>
      <c r="H161" s="62">
        <v>0.032</v>
      </c>
      <c r="I161" s="62">
        <v>0.032</v>
      </c>
      <c r="K161" s="18">
        <v>20</v>
      </c>
      <c r="L161" s="62">
        <v>0.0039</v>
      </c>
      <c r="M161" s="62">
        <v>0.0039</v>
      </c>
      <c r="N161" s="62">
        <v>0.0039</v>
      </c>
    </row>
    <row r="162" spans="1:14" ht="12.75">
      <c r="A162" s="18">
        <v>20</v>
      </c>
      <c r="B162" s="62">
        <v>0.00027</v>
      </c>
      <c r="C162" s="62">
        <v>0.00027</v>
      </c>
      <c r="D162" s="62">
        <v>0.00027</v>
      </c>
      <c r="E162" s="73" t="s">
        <v>49</v>
      </c>
      <c r="G162" s="61"/>
      <c r="K162" s="18">
        <v>30</v>
      </c>
      <c r="L162" s="62">
        <v>0.0039</v>
      </c>
      <c r="M162" s="62">
        <v>0.0039</v>
      </c>
      <c r="N162" s="62">
        <v>0.0039</v>
      </c>
    </row>
    <row r="165" spans="1:14" ht="12.75">
      <c r="A165" s="26" t="s">
        <v>37</v>
      </c>
      <c r="B165" s="18" t="s">
        <v>30</v>
      </c>
      <c r="C165" s="18" t="s">
        <v>31</v>
      </c>
      <c r="D165" s="18" t="s">
        <v>32</v>
      </c>
      <c r="E165" s="18" t="s">
        <v>33</v>
      </c>
      <c r="G165" s="61"/>
      <c r="H165" s="18" t="s">
        <v>55</v>
      </c>
      <c r="I165" s="18" t="s">
        <v>70</v>
      </c>
      <c r="L165" s="18" t="s">
        <v>68</v>
      </c>
      <c r="M165" s="18" t="s">
        <v>71</v>
      </c>
      <c r="N165" s="18" t="s">
        <v>72</v>
      </c>
    </row>
    <row r="166" spans="1:14" ht="12.75">
      <c r="A166" s="26">
        <v>-60</v>
      </c>
      <c r="B166" s="69" t="s">
        <v>49</v>
      </c>
      <c r="C166" s="69" t="s">
        <v>49</v>
      </c>
      <c r="D166" s="69" t="s">
        <v>49</v>
      </c>
      <c r="E166" s="69" t="s">
        <v>49</v>
      </c>
      <c r="G166" s="61"/>
      <c r="H166" s="69" t="s">
        <v>49</v>
      </c>
      <c r="I166" s="69" t="s">
        <v>49</v>
      </c>
      <c r="L166" s="69" t="s">
        <v>49</v>
      </c>
      <c r="M166" s="69" t="s">
        <v>49</v>
      </c>
      <c r="N166" s="69" t="s">
        <v>49</v>
      </c>
    </row>
    <row r="167" spans="1:14" ht="12.75">
      <c r="A167" s="18">
        <v>-38</v>
      </c>
      <c r="B167" s="62">
        <v>2.5E-08</v>
      </c>
      <c r="C167" s="62">
        <v>2.5E-08</v>
      </c>
      <c r="D167" s="62">
        <v>2.5E-08</v>
      </c>
      <c r="E167" s="62">
        <v>2.5E-08</v>
      </c>
      <c r="G167" s="61">
        <v>-8</v>
      </c>
      <c r="H167" s="62">
        <v>2.5E-05</v>
      </c>
      <c r="I167" s="62">
        <v>2.5E-05</v>
      </c>
      <c r="K167" s="18">
        <v>-28</v>
      </c>
      <c r="L167" s="62">
        <v>3E-07</v>
      </c>
      <c r="M167" s="62">
        <v>3E-07</v>
      </c>
      <c r="N167" s="62">
        <v>3E-07</v>
      </c>
    </row>
    <row r="168" spans="1:14" ht="12.75">
      <c r="A168" s="18">
        <v>-20</v>
      </c>
      <c r="B168" s="62">
        <v>2.3E-07</v>
      </c>
      <c r="C168" s="62">
        <v>2.3E-07</v>
      </c>
      <c r="D168" s="62">
        <v>2.3E-07</v>
      </c>
      <c r="E168" s="62">
        <v>2.3E-07</v>
      </c>
      <c r="G168" s="61">
        <v>10</v>
      </c>
      <c r="H168" s="62">
        <v>0.00023</v>
      </c>
      <c r="I168" s="62">
        <v>0.00023</v>
      </c>
      <c r="K168" s="18">
        <v>-10</v>
      </c>
      <c r="L168" s="62">
        <v>3E-06</v>
      </c>
      <c r="M168" s="62">
        <v>3E-06</v>
      </c>
      <c r="N168" s="62">
        <v>3E-06</v>
      </c>
    </row>
    <row r="169" spans="1:14" ht="12.75">
      <c r="A169" s="18">
        <v>-11</v>
      </c>
      <c r="B169" s="62">
        <v>1.9E-05</v>
      </c>
      <c r="C169" s="62">
        <v>1.9E-05</v>
      </c>
      <c r="D169" s="62">
        <v>1.9E-05</v>
      </c>
      <c r="E169" s="62">
        <v>1.9E-05</v>
      </c>
      <c r="G169" s="61">
        <v>19</v>
      </c>
      <c r="H169" s="62">
        <v>0.019</v>
      </c>
      <c r="I169" s="62">
        <v>0.019</v>
      </c>
      <c r="K169" s="18">
        <v>-1</v>
      </c>
      <c r="L169" s="62">
        <v>0.00019</v>
      </c>
      <c r="M169" s="62">
        <v>0.00019</v>
      </c>
      <c r="N169" s="62">
        <v>0.00019</v>
      </c>
    </row>
    <row r="170" spans="1:14" ht="12.75">
      <c r="A170" s="18">
        <v>-7</v>
      </c>
      <c r="B170" s="62">
        <v>2.4E-05</v>
      </c>
      <c r="C170" s="62">
        <v>2.4E-05</v>
      </c>
      <c r="D170" s="62">
        <v>2.4E-05</v>
      </c>
      <c r="E170" s="62">
        <v>2.4E-05</v>
      </c>
      <c r="G170" s="61">
        <v>23</v>
      </c>
      <c r="H170" s="62">
        <v>0.024</v>
      </c>
      <c r="I170" s="62">
        <v>0.024</v>
      </c>
      <c r="K170" s="18">
        <v>3</v>
      </c>
      <c r="L170" s="62">
        <v>0.0003</v>
      </c>
      <c r="M170" s="62">
        <v>0.0003</v>
      </c>
      <c r="N170" s="62">
        <v>0.0003</v>
      </c>
    </row>
    <row r="171" spans="1:14" ht="12.75">
      <c r="A171" s="18">
        <v>10</v>
      </c>
      <c r="B171" s="62">
        <v>0.00011</v>
      </c>
      <c r="C171" s="62">
        <v>0.00011</v>
      </c>
      <c r="D171" s="62">
        <v>0.00011</v>
      </c>
      <c r="E171" s="62">
        <v>0.00011</v>
      </c>
      <c r="G171" s="61">
        <v>44</v>
      </c>
      <c r="H171" s="62">
        <v>0.024</v>
      </c>
      <c r="I171" s="62">
        <v>0.024</v>
      </c>
      <c r="K171" s="18">
        <v>20</v>
      </c>
      <c r="L171" s="62">
        <v>0.0011</v>
      </c>
      <c r="M171" s="62">
        <v>0.0011</v>
      </c>
      <c r="N171" s="62">
        <v>0.0011</v>
      </c>
    </row>
    <row r="172" spans="1:14" ht="12.75">
      <c r="A172" s="18">
        <v>20</v>
      </c>
      <c r="B172" s="62">
        <v>0.00011</v>
      </c>
      <c r="C172" s="62">
        <v>0.00011</v>
      </c>
      <c r="D172" s="62">
        <v>0.00011</v>
      </c>
      <c r="E172" s="62">
        <v>0.00011</v>
      </c>
      <c r="G172" s="61"/>
      <c r="K172" s="18">
        <v>30</v>
      </c>
      <c r="L172" s="62">
        <v>0.0011</v>
      </c>
      <c r="M172" s="62">
        <v>0.0011</v>
      </c>
      <c r="N172" s="62">
        <v>0.0011</v>
      </c>
    </row>
    <row r="175" spans="1:14" ht="12.75">
      <c r="A175" s="26" t="s">
        <v>95</v>
      </c>
      <c r="B175" s="18" t="s">
        <v>30</v>
      </c>
      <c r="C175" s="18" t="s">
        <v>31</v>
      </c>
      <c r="D175" s="18" t="s">
        <v>32</v>
      </c>
      <c r="E175" s="18" t="s">
        <v>33</v>
      </c>
      <c r="G175" s="61"/>
      <c r="H175" s="18" t="s">
        <v>55</v>
      </c>
      <c r="I175" s="18" t="s">
        <v>70</v>
      </c>
      <c r="L175" s="18" t="s">
        <v>68</v>
      </c>
      <c r="M175" s="18" t="s">
        <v>71</v>
      </c>
      <c r="N175" s="18" t="s">
        <v>72</v>
      </c>
    </row>
    <row r="176" spans="1:14" ht="12.75">
      <c r="A176" s="18">
        <v>-60</v>
      </c>
      <c r="B176" s="69" t="s">
        <v>49</v>
      </c>
      <c r="C176" s="69" t="s">
        <v>49</v>
      </c>
      <c r="D176" s="69" t="s">
        <v>49</v>
      </c>
      <c r="E176" s="69" t="s">
        <v>49</v>
      </c>
      <c r="G176" s="61">
        <v>-30</v>
      </c>
      <c r="H176" s="69" t="s">
        <v>49</v>
      </c>
      <c r="I176" s="69" t="s">
        <v>49</v>
      </c>
      <c r="K176" s="18">
        <v>-50</v>
      </c>
      <c r="L176" s="69" t="s">
        <v>49</v>
      </c>
      <c r="M176" s="69" t="s">
        <v>49</v>
      </c>
      <c r="N176" s="69" t="s">
        <v>49</v>
      </c>
    </row>
    <row r="177" spans="1:14" ht="12.75">
      <c r="A177" s="18">
        <v>-38</v>
      </c>
      <c r="B177" s="62">
        <v>2.8E-08</v>
      </c>
      <c r="C177" s="62">
        <v>2.8E-08</v>
      </c>
      <c r="D177" s="62">
        <v>2.8E-08</v>
      </c>
      <c r="E177" s="62">
        <v>2.8E-08</v>
      </c>
      <c r="G177" s="61">
        <v>-8</v>
      </c>
      <c r="H177" s="62">
        <v>2.8E-05</v>
      </c>
      <c r="I177" s="62">
        <v>2.8E-05</v>
      </c>
      <c r="K177" s="18">
        <v>-28</v>
      </c>
      <c r="L177" s="62">
        <v>3.1E-07</v>
      </c>
      <c r="M177" s="62">
        <v>3.1E-07</v>
      </c>
      <c r="N177" s="62">
        <v>3.1E-07</v>
      </c>
    </row>
    <row r="178" spans="1:14" ht="12.75">
      <c r="A178" s="18">
        <v>-20</v>
      </c>
      <c r="B178" s="62">
        <v>3E-07</v>
      </c>
      <c r="C178" s="62">
        <v>3E-07</v>
      </c>
      <c r="D178" s="62">
        <v>3E-07</v>
      </c>
      <c r="E178" s="62">
        <v>3E-07</v>
      </c>
      <c r="G178" s="61">
        <v>10</v>
      </c>
      <c r="H178" s="62">
        <v>0.0003</v>
      </c>
      <c r="I178" s="62">
        <v>0.0003</v>
      </c>
      <c r="K178" s="18">
        <v>-10</v>
      </c>
      <c r="L178" s="62">
        <v>5E-06</v>
      </c>
      <c r="M178" s="62">
        <v>5E-06</v>
      </c>
      <c r="N178" s="62">
        <v>5E-06</v>
      </c>
    </row>
    <row r="179" spans="1:14" ht="12.75">
      <c r="A179" s="18">
        <v>-11</v>
      </c>
      <c r="B179" s="62">
        <v>2E-05</v>
      </c>
      <c r="C179" s="62">
        <v>2E-05</v>
      </c>
      <c r="D179" s="62">
        <v>2E-05</v>
      </c>
      <c r="E179" s="62">
        <v>2E-05</v>
      </c>
      <c r="G179" s="61">
        <v>19</v>
      </c>
      <c r="H179" s="62">
        <v>0.02</v>
      </c>
      <c r="I179" s="62">
        <v>0.02</v>
      </c>
      <c r="K179" s="18">
        <v>-1</v>
      </c>
      <c r="L179" s="62">
        <v>0.00023</v>
      </c>
      <c r="M179" s="62">
        <v>0.00023</v>
      </c>
      <c r="N179" s="62">
        <v>0.00023</v>
      </c>
    </row>
    <row r="180" spans="1:14" ht="12.75">
      <c r="A180" s="18">
        <v>-7</v>
      </c>
      <c r="B180" s="62">
        <v>2.1E-05</v>
      </c>
      <c r="C180" s="62">
        <v>2.1E-05</v>
      </c>
      <c r="D180" s="62">
        <v>2.1E-05</v>
      </c>
      <c r="E180" s="62">
        <v>2.1E-05</v>
      </c>
      <c r="G180" s="61">
        <v>23</v>
      </c>
      <c r="H180" s="62">
        <v>0.021</v>
      </c>
      <c r="I180" s="62">
        <v>0.021</v>
      </c>
      <c r="K180" s="18">
        <v>3</v>
      </c>
      <c r="L180" s="62">
        <v>0.00026</v>
      </c>
      <c r="M180" s="62">
        <v>0.00026</v>
      </c>
      <c r="N180" s="62">
        <v>0.00026</v>
      </c>
    </row>
    <row r="181" spans="1:14" ht="12.75">
      <c r="A181" s="18">
        <v>10</v>
      </c>
      <c r="B181" s="62">
        <v>0.00018</v>
      </c>
      <c r="C181" s="62">
        <v>0.00018</v>
      </c>
      <c r="D181" s="62">
        <v>0.00018</v>
      </c>
      <c r="E181" s="62">
        <v>0.00018</v>
      </c>
      <c r="G181" s="61">
        <v>44</v>
      </c>
      <c r="H181" s="62">
        <v>0.021</v>
      </c>
      <c r="I181" s="62">
        <v>0.021</v>
      </c>
      <c r="K181" s="18">
        <v>20</v>
      </c>
      <c r="L181" s="62">
        <v>0.0028</v>
      </c>
      <c r="M181" s="62">
        <v>0.0028</v>
      </c>
      <c r="N181" s="62">
        <v>0.0028</v>
      </c>
    </row>
    <row r="182" spans="1:14" ht="12.75">
      <c r="A182" s="18">
        <v>20</v>
      </c>
      <c r="B182" s="62">
        <v>0.00018</v>
      </c>
      <c r="C182" s="62">
        <v>0.00018</v>
      </c>
      <c r="D182" s="62">
        <v>0.00018</v>
      </c>
      <c r="E182" s="62">
        <v>0.00018</v>
      </c>
      <c r="G182" s="61"/>
      <c r="K182" s="18">
        <v>30</v>
      </c>
      <c r="L182" s="62">
        <v>0.0028</v>
      </c>
      <c r="M182" s="62">
        <v>0.0028</v>
      </c>
      <c r="N182" s="62">
        <v>0.0028</v>
      </c>
    </row>
    <row r="184" ht="12.75">
      <c r="B184" s="69" t="s">
        <v>88</v>
      </c>
    </row>
    <row r="185" spans="1:14" ht="12.75">
      <c r="A185" s="26" t="s">
        <v>89</v>
      </c>
      <c r="B185" s="18" t="s">
        <v>30</v>
      </c>
      <c r="C185" s="18" t="s">
        <v>31</v>
      </c>
      <c r="D185" s="18" t="s">
        <v>32</v>
      </c>
      <c r="E185" s="18" t="s">
        <v>33</v>
      </c>
      <c r="G185" s="61"/>
      <c r="H185" s="18" t="s">
        <v>55</v>
      </c>
      <c r="I185" s="18" t="s">
        <v>70</v>
      </c>
      <c r="L185" s="18" t="s">
        <v>68</v>
      </c>
      <c r="M185" s="18" t="s">
        <v>71</v>
      </c>
      <c r="N185" s="18" t="s">
        <v>72</v>
      </c>
    </row>
    <row r="186" spans="1:14" ht="12.75">
      <c r="A186" s="18">
        <v>-60</v>
      </c>
      <c r="B186" s="69" t="s">
        <v>49</v>
      </c>
      <c r="C186" s="69" t="s">
        <v>49</v>
      </c>
      <c r="D186" s="69" t="s">
        <v>49</v>
      </c>
      <c r="E186" s="69" t="s">
        <v>49</v>
      </c>
      <c r="G186" s="61">
        <v>-30</v>
      </c>
      <c r="H186" s="69" t="s">
        <v>49</v>
      </c>
      <c r="I186" s="69" t="s">
        <v>49</v>
      </c>
      <c r="K186" s="18">
        <v>-50</v>
      </c>
      <c r="L186" s="69" t="s">
        <v>49</v>
      </c>
      <c r="M186" s="69" t="s">
        <v>49</v>
      </c>
      <c r="N186" s="69" t="s">
        <v>49</v>
      </c>
    </row>
    <row r="187" spans="1:14" ht="12.75">
      <c r="A187" s="18">
        <v>-38</v>
      </c>
      <c r="B187" s="62">
        <v>9E-08</v>
      </c>
      <c r="C187" s="62">
        <v>9E-08</v>
      </c>
      <c r="D187" s="62">
        <v>9E-08</v>
      </c>
      <c r="E187" s="62">
        <v>9E-08</v>
      </c>
      <c r="G187" s="61">
        <v>-8</v>
      </c>
      <c r="H187" s="62">
        <v>9E-05</v>
      </c>
      <c r="I187" s="62">
        <v>9E-05</v>
      </c>
      <c r="K187" s="18">
        <v>-28</v>
      </c>
      <c r="L187" s="62">
        <v>0.0009</v>
      </c>
      <c r="M187" s="62">
        <v>0.0009</v>
      </c>
      <c r="N187" s="62">
        <v>0.0009</v>
      </c>
    </row>
    <row r="188" spans="1:14" ht="12.75">
      <c r="A188" s="18">
        <v>-20</v>
      </c>
      <c r="B188" s="62">
        <v>1E-06</v>
      </c>
      <c r="C188" s="62">
        <v>1E-06</v>
      </c>
      <c r="D188" s="62">
        <v>1E-06</v>
      </c>
      <c r="E188" s="62">
        <v>1E-06</v>
      </c>
      <c r="G188" s="61">
        <v>10</v>
      </c>
      <c r="H188" s="62">
        <v>0.001</v>
      </c>
      <c r="I188" s="62">
        <v>0.001</v>
      </c>
      <c r="K188" s="18">
        <v>-10</v>
      </c>
      <c r="L188" s="62">
        <v>1E-05</v>
      </c>
      <c r="M188" s="62">
        <v>1E-05</v>
      </c>
      <c r="N188" s="62">
        <v>1E-05</v>
      </c>
    </row>
    <row r="189" spans="1:14" ht="12.75">
      <c r="A189" s="18">
        <v>-11</v>
      </c>
      <c r="B189" s="62">
        <v>5.5E-05</v>
      </c>
      <c r="C189" s="62">
        <v>5.5E-05</v>
      </c>
      <c r="D189" s="62">
        <v>5.5E-05</v>
      </c>
      <c r="E189" s="62">
        <v>5.5E-05</v>
      </c>
      <c r="G189" s="61">
        <v>19</v>
      </c>
      <c r="H189" s="62">
        <v>0.055</v>
      </c>
      <c r="I189" s="62">
        <v>0.055</v>
      </c>
      <c r="K189" s="18">
        <v>-1</v>
      </c>
      <c r="L189" s="62">
        <v>0.00055</v>
      </c>
      <c r="M189" s="62">
        <v>0.00055</v>
      </c>
      <c r="N189" s="62">
        <v>0.00055</v>
      </c>
    </row>
    <row r="190" spans="1:14" ht="12.75">
      <c r="A190" s="18">
        <v>-7</v>
      </c>
      <c r="B190" s="62">
        <v>8.5E-05</v>
      </c>
      <c r="C190" s="62">
        <v>8.5E-05</v>
      </c>
      <c r="D190" s="62">
        <v>8.5E-05</v>
      </c>
      <c r="E190" s="62">
        <v>8.5E-05</v>
      </c>
      <c r="G190" s="61">
        <v>23</v>
      </c>
      <c r="H190" s="62">
        <v>0.085</v>
      </c>
      <c r="I190" s="62">
        <v>0.085</v>
      </c>
      <c r="K190" s="18">
        <v>3</v>
      </c>
      <c r="L190" s="62">
        <v>0.00085</v>
      </c>
      <c r="M190" s="62">
        <v>0.00085</v>
      </c>
      <c r="N190" s="62">
        <v>0.00085</v>
      </c>
    </row>
    <row r="191" spans="1:14" ht="12.75">
      <c r="A191" s="18">
        <v>10</v>
      </c>
      <c r="B191" s="62">
        <v>0.00055</v>
      </c>
      <c r="C191" s="62">
        <v>0.00055</v>
      </c>
      <c r="D191" s="62">
        <v>0.00055</v>
      </c>
      <c r="E191" s="62">
        <v>0.00055</v>
      </c>
      <c r="G191" s="61">
        <v>44</v>
      </c>
      <c r="H191" s="62">
        <v>0.085</v>
      </c>
      <c r="I191" s="62">
        <v>0.085</v>
      </c>
      <c r="K191" s="18">
        <v>20</v>
      </c>
      <c r="L191" s="62">
        <v>0.0055</v>
      </c>
      <c r="M191" s="62">
        <v>0.0055</v>
      </c>
      <c r="N191" s="62">
        <v>0.0055</v>
      </c>
    </row>
    <row r="192" spans="1:14" ht="12.75">
      <c r="A192" s="18">
        <v>20</v>
      </c>
      <c r="B192" s="62">
        <v>0.00055</v>
      </c>
      <c r="C192" s="62">
        <v>0.00055</v>
      </c>
      <c r="D192" s="62">
        <v>0.00055</v>
      </c>
      <c r="E192" s="62">
        <v>0.00055</v>
      </c>
      <c r="G192" s="61"/>
      <c r="K192" s="18">
        <v>30</v>
      </c>
      <c r="L192" s="62">
        <v>0.0055</v>
      </c>
      <c r="M192" s="62">
        <v>0.0055</v>
      </c>
      <c r="N192" s="62">
        <v>0.0055</v>
      </c>
    </row>
    <row r="195" ht="12.75">
      <c r="A195" s="26" t="s">
        <v>95</v>
      </c>
    </row>
    <row r="196" spans="1:3" ht="12.75">
      <c r="A196" s="69" t="s">
        <v>92</v>
      </c>
      <c r="B196" s="68">
        <f>C196*B111</f>
        <v>1E-05</v>
      </c>
      <c r="C196" s="68">
        <f>IF(OR((calculator!B5="U2000A"),(calculator!B5="U2001A"),(calculator!B5="U2002A"),calculator!B5=("U2004A")),INDEX(Data!A60:E67,MATCH(calculator!B7,Data!A60:A67,1),MATCH(calculator!B5,Data!A60:E60,0)),(IF(OR((calculator!B5="U2000B"),(calculator!B5="U2001B")),INDEX(Data!G60:I66,MATCH(calculator!B7,Data!G60:G66,1),MATCH(calculator!B5,Data!G60:I60,0)),(INDEX(Data!K60:N67,MATCH(calculator!B7,Data!K60:K67,1),MATCH(calculator!B5,Data!K60:N60,0))))))</f>
        <v>1E-05</v>
      </c>
    </row>
    <row r="197" spans="1:2" ht="12.75">
      <c r="A197" s="69" t="s">
        <v>98</v>
      </c>
      <c r="B197" s="68">
        <f>IF(calculator!B12&lt;2.73,MAX(Data!B198,B201),MAX(Data!B199,B201))</f>
        <v>0.00018</v>
      </c>
    </row>
    <row r="198" spans="1:3" ht="12.75">
      <c r="A198" s="69" t="s">
        <v>96</v>
      </c>
      <c r="B198" s="68">
        <f>C198*(1/SQRT(calculator!B8))</f>
        <v>0.0001375</v>
      </c>
      <c r="C198" s="68">
        <f>IF(OR((calculator!B5="U2000A"),(calculator!B5="U2001A"),(calculator!B5="U2002A"),calculator!B5=("U2004A")),INDEX(A185:E192,MATCH(calculator!B7,A185:A192,1),MATCH(calculator!B5,A185:E185,0)),(IF(OR((calculator!B5="U2000B"),(calculator!B5="U2001B")),INDEX(G185:I191,MATCH(calculator!B7,G185:G191,1),MATCH(calculator!B5,G185:I185,0)),(INDEX(K185:N192,MATCH(calculator!B7,K185:K192,1),MATCH(calculator!B5,K185:N185,0))))))</f>
        <v>0.00055</v>
      </c>
    </row>
    <row r="199" spans="1:2" ht="12.75">
      <c r="A199" s="69" t="s">
        <v>97</v>
      </c>
      <c r="B199" s="18">
        <f>B198*(4/(calculator!B12/0.68))^0.25</f>
        <v>2.640507620861517E-05</v>
      </c>
    </row>
    <row r="201" spans="1:2" ht="12.75">
      <c r="A201" s="69" t="s">
        <v>104</v>
      </c>
      <c r="B201" s="68">
        <f>IF(OR((calculator!B5="U2000A"),(calculator!B5="U2001A"),(calculator!B5="U2002A"),calculator!A5=("U2004A")),INDEX(A175:E182,MATCH(calculator!B7,A175:A182,1),MATCH(calculator!B5,A175:E175,0)),(IF(OR((calculator!B5="U2000B"),(calculator!B5="U2001B")),INDEX(G175:I181,MATCH(calculator!B7,G175:G181,1),MATCH(calculator!B5,G175:I175,0)),(INDEX(K175:N182,MATCH(calculator!B7,K175:K182,1),MATCH(calculator!B5,K175:N175,0))))))</f>
        <v>0.00018</v>
      </c>
    </row>
  </sheetData>
  <sheetProtection password="E94E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27" sqref="H27"/>
    </sheetView>
  </sheetViews>
  <sheetFormatPr defaultColWidth="9.140625" defaultRowHeight="12.75"/>
  <sheetData>
    <row r="1" spans="1:2" ht="12.75">
      <c r="A1" t="s">
        <v>100</v>
      </c>
      <c r="B1" t="s">
        <v>101</v>
      </c>
    </row>
    <row r="2" spans="1:2" ht="12.75">
      <c r="A2" t="s">
        <v>54</v>
      </c>
      <c r="B2" t="s">
        <v>102</v>
      </c>
    </row>
    <row r="3" spans="1:2" ht="12.75">
      <c r="A3" t="s">
        <v>103</v>
      </c>
      <c r="B3" s="5" t="s">
        <v>110</v>
      </c>
    </row>
    <row r="4" spans="1:2" ht="12.75">
      <c r="A4" t="s">
        <v>109</v>
      </c>
      <c r="B4" s="5" t="s">
        <v>111</v>
      </c>
    </row>
    <row r="5" spans="1:2" ht="12.75">
      <c r="A5" t="s">
        <v>106</v>
      </c>
      <c r="B5" t="s">
        <v>108</v>
      </c>
    </row>
    <row r="13" ht="12.75">
      <c r="E13" s="18"/>
    </row>
  </sheetData>
  <sheetProtection password="E94E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sookhua</dc:creator>
  <cp:keywords/>
  <dc:description/>
  <cp:lastModifiedBy>sookhua</cp:lastModifiedBy>
  <dcterms:created xsi:type="dcterms:W3CDTF">2007-11-27T09:47:28Z</dcterms:created>
  <dcterms:modified xsi:type="dcterms:W3CDTF">2010-11-26T02:29:58Z</dcterms:modified>
  <cp:category/>
  <cp:version/>
  <cp:contentType/>
  <cp:contentStatus/>
</cp:coreProperties>
</file>